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775" activeTab="1"/>
  </bookViews>
  <sheets>
    <sheet name="Chart1" sheetId="1" r:id="rId1"/>
    <sheet name="2018.19 payments" sheetId="2" r:id="rId2"/>
    <sheet name="2018.19 receipts" sheetId="3" r:id="rId3"/>
    <sheet name="Budget 2019.20" sheetId="4" r:id="rId4"/>
    <sheet name="2017-2018 PAYMENTS" sheetId="5" r:id="rId5"/>
    <sheet name="2017-2018 RECEIPTS" sheetId="6" r:id="rId6"/>
    <sheet name="PC VAT" sheetId="7" r:id="rId7"/>
    <sheet name="Budget 2018.19" sheetId="8" r:id="rId8"/>
    <sheet name="2016-2017 PAYMENTS" sheetId="9" r:id="rId9"/>
    <sheet name="2016-2017 RECEIPTS" sheetId="10" r:id="rId10"/>
  </sheets>
  <definedNames/>
  <calcPr fullCalcOnLoad="1"/>
</workbook>
</file>

<file path=xl/sharedStrings.xml><?xml version="1.0" encoding="utf-8"?>
<sst xmlns="http://schemas.openxmlformats.org/spreadsheetml/2006/main" count="1491" uniqueCount="456">
  <si>
    <t>Date</t>
  </si>
  <si>
    <t>Allotments</t>
  </si>
  <si>
    <t>Other</t>
  </si>
  <si>
    <t>Precept</t>
  </si>
  <si>
    <t>Insurance</t>
  </si>
  <si>
    <t>From whom</t>
  </si>
  <si>
    <t>Details</t>
  </si>
  <si>
    <t>Admin</t>
  </si>
  <si>
    <t xml:space="preserve">Cheque </t>
  </si>
  <si>
    <t>Payee</t>
  </si>
  <si>
    <t>Details of payment</t>
  </si>
  <si>
    <t>VAT</t>
  </si>
  <si>
    <t>No</t>
  </si>
  <si>
    <t>Payment</t>
  </si>
  <si>
    <t>Amount</t>
  </si>
  <si>
    <t>cleared</t>
  </si>
  <si>
    <t>*</t>
  </si>
  <si>
    <t>Recycling</t>
  </si>
  <si>
    <t xml:space="preserve">Amount </t>
  </si>
  <si>
    <t>Bank</t>
  </si>
  <si>
    <t xml:space="preserve">Clerk </t>
  </si>
  <si>
    <t>Subscriptions</t>
  </si>
  <si>
    <t>TOTAL FOR MONTH</t>
  </si>
  <si>
    <t>MAY</t>
  </si>
  <si>
    <t>NOVEMBER</t>
  </si>
  <si>
    <t>Sundry</t>
  </si>
  <si>
    <t>others</t>
  </si>
  <si>
    <t>Clerk</t>
  </si>
  <si>
    <t>Credit no:</t>
  </si>
  <si>
    <t>Dog bins</t>
  </si>
  <si>
    <t>Cleared</t>
  </si>
  <si>
    <t>Norfolk ALC</t>
  </si>
  <si>
    <t>TOTAL</t>
  </si>
  <si>
    <t xml:space="preserve">Happisburgh Parish Council - Payments for the Year April 2015 to March 2016.  </t>
  </si>
  <si>
    <t>Zurich Insurance</t>
  </si>
  <si>
    <t>TOTAL FOR PERIOD</t>
  </si>
  <si>
    <t>Glass</t>
  </si>
  <si>
    <t>Maintenance</t>
  </si>
  <si>
    <t>DECEMBER</t>
  </si>
  <si>
    <t>November</t>
  </si>
  <si>
    <t>December / January</t>
  </si>
  <si>
    <t>TOTALS</t>
  </si>
  <si>
    <t>9.05.16</t>
  </si>
  <si>
    <t>salary and expenses</t>
  </si>
  <si>
    <t>HB lighthouse</t>
  </si>
  <si>
    <t>S137 donation</t>
  </si>
  <si>
    <t>Wenn Evans Centre</t>
  </si>
  <si>
    <t>Hire for cricket force weekend</t>
  </si>
  <si>
    <t>NGF Ltd</t>
  </si>
  <si>
    <t>zipwire</t>
  </si>
  <si>
    <t>subscription</t>
  </si>
  <si>
    <t>Norfolk Age Uk</t>
  </si>
  <si>
    <t>donation</t>
  </si>
  <si>
    <t>S&amp;S first responders</t>
  </si>
  <si>
    <t>Happisburgh PCC</t>
  </si>
  <si>
    <t>Churchyard</t>
  </si>
  <si>
    <t>Church newsletter</t>
  </si>
  <si>
    <t>Happisburgh Parish Council - Receipts for the Year April 2016 to March 2017</t>
  </si>
  <si>
    <t>CHEQUE CANCELLED</t>
  </si>
  <si>
    <t>June</t>
  </si>
  <si>
    <t>6.06.16</t>
  </si>
  <si>
    <t>NNDC</t>
  </si>
  <si>
    <t>dog bin emptying</t>
  </si>
  <si>
    <t>Zurich</t>
  </si>
  <si>
    <t>additional insurance for liability</t>
  </si>
  <si>
    <t>URM</t>
  </si>
  <si>
    <t>July</t>
  </si>
  <si>
    <t>11.07.16</t>
  </si>
  <si>
    <t>DD</t>
  </si>
  <si>
    <t>NEST</t>
  </si>
  <si>
    <t>August</t>
  </si>
  <si>
    <t>EON credit</t>
  </si>
  <si>
    <t>NCC grant for precept</t>
  </si>
  <si>
    <t>NCC precept</t>
  </si>
  <si>
    <t>NCC Parish Partnership SAM2</t>
  </si>
  <si>
    <t>Season tickets</t>
  </si>
  <si>
    <t>Solar Panels</t>
  </si>
  <si>
    <t xml:space="preserve">Precept </t>
  </si>
  <si>
    <t>Grant</t>
  </si>
  <si>
    <t>CCAG donation / closure of acc</t>
  </si>
  <si>
    <t>Playspace donation</t>
  </si>
  <si>
    <t>Waitrose donation</t>
  </si>
  <si>
    <t>pension</t>
  </si>
  <si>
    <t>glass</t>
  </si>
  <si>
    <t>HMRC</t>
  </si>
  <si>
    <t>Post office Ltd</t>
  </si>
  <si>
    <t>David Bracey</t>
  </si>
  <si>
    <t>Play inspections</t>
  </si>
  <si>
    <t>SIM Home Improvements</t>
  </si>
  <si>
    <t>grass cutting</t>
  </si>
  <si>
    <t>Jo Beardshaw</t>
  </si>
  <si>
    <t>7.07.16</t>
  </si>
  <si>
    <t>8.08.16</t>
  </si>
  <si>
    <t>David Bracey re-write of cheque 688</t>
  </si>
  <si>
    <t>Century Printing</t>
  </si>
  <si>
    <t>HMRC post office Ltd</t>
  </si>
  <si>
    <t>tax</t>
  </si>
  <si>
    <t>signs for playground</t>
  </si>
  <si>
    <t>salary and exp</t>
  </si>
  <si>
    <t>Natwest bank interest</t>
  </si>
  <si>
    <t>Nisbets</t>
  </si>
  <si>
    <t>Wenn Evans tables</t>
  </si>
  <si>
    <t>initial dd payment</t>
  </si>
  <si>
    <t>dd</t>
  </si>
  <si>
    <t>1.08.16</t>
  </si>
  <si>
    <t>URM glass</t>
  </si>
  <si>
    <t>12.09.16</t>
  </si>
  <si>
    <t>G H Hales</t>
  </si>
  <si>
    <t>grass cutting one year</t>
  </si>
  <si>
    <t>NGF Play</t>
  </si>
  <si>
    <t>zip wire</t>
  </si>
  <si>
    <t>Pension</t>
  </si>
  <si>
    <t>SEPTEMBER</t>
  </si>
  <si>
    <t>10.10.16</t>
  </si>
  <si>
    <t>VAT!</t>
  </si>
  <si>
    <t>OCTOBER</t>
  </si>
  <si>
    <t>22.10.16</t>
  </si>
  <si>
    <t xml:space="preserve">SIM </t>
  </si>
  <si>
    <t>work at Wenn Evans</t>
  </si>
  <si>
    <t>30.09.16</t>
  </si>
  <si>
    <t>July, August, Sept interest</t>
  </si>
  <si>
    <t>September and October</t>
  </si>
  <si>
    <t>21.09.16</t>
  </si>
  <si>
    <t>EON interest</t>
  </si>
  <si>
    <t>23.09.16</t>
  </si>
  <si>
    <t>NNDC precept and grant</t>
  </si>
  <si>
    <t>s/o</t>
  </si>
  <si>
    <t>Nest Pension</t>
  </si>
  <si>
    <t>14.11.16</t>
  </si>
  <si>
    <t>Clerk salary and exp</t>
  </si>
  <si>
    <t>Tax</t>
  </si>
  <si>
    <t>HB cricket club</t>
  </si>
  <si>
    <t>Fit2Run</t>
  </si>
  <si>
    <t>Mazars</t>
  </si>
  <si>
    <t>Audit</t>
  </si>
  <si>
    <t>Bottle recycling March to Sept</t>
  </si>
  <si>
    <t>12.12.16</t>
  </si>
  <si>
    <t>Clerk Salary and exp</t>
  </si>
  <si>
    <t>CANCELLED</t>
  </si>
  <si>
    <t>Post Office Ltd</t>
  </si>
  <si>
    <t>HMRC tax</t>
  </si>
  <si>
    <t>TG Askew</t>
  </si>
  <si>
    <t>Planings wenn evans car park</t>
  </si>
  <si>
    <t>No parking signs wenn evans</t>
  </si>
  <si>
    <t>14.12.17</t>
  </si>
  <si>
    <t>December</t>
  </si>
  <si>
    <t>January</t>
  </si>
  <si>
    <t>February</t>
  </si>
  <si>
    <t>9.01.17</t>
  </si>
  <si>
    <t>d/d</t>
  </si>
  <si>
    <t>HB Coastwatch</t>
  </si>
  <si>
    <t>Donation</t>
  </si>
  <si>
    <t>S137/GPC</t>
  </si>
  <si>
    <t>HB craft club</t>
  </si>
  <si>
    <t>13.02.17</t>
  </si>
  <si>
    <t>The National Allotment Society</t>
  </si>
  <si>
    <t>Subscription</t>
  </si>
  <si>
    <t>TMA Bark</t>
  </si>
  <si>
    <t>Bark for playspace</t>
  </si>
  <si>
    <t>Carl Bird</t>
  </si>
  <si>
    <t>Skip for allotments</t>
  </si>
  <si>
    <t>Bank interest</t>
  </si>
  <si>
    <t>17.01.17</t>
  </si>
  <si>
    <t>Allotments income</t>
  </si>
  <si>
    <t>16.02.17</t>
  </si>
  <si>
    <t>13.3.17</t>
  </si>
  <si>
    <t>725</t>
  </si>
  <si>
    <t>726</t>
  </si>
  <si>
    <t>Zurich Municipal</t>
  </si>
  <si>
    <t>insurance</t>
  </si>
  <si>
    <t>Janet Thompson</t>
  </si>
  <si>
    <t>Trees and ties</t>
  </si>
  <si>
    <t>14.03.17</t>
  </si>
  <si>
    <t>EON</t>
  </si>
  <si>
    <t>9.03.17</t>
  </si>
  <si>
    <t>there was another nest pension in here not sure if I should have been have deleted it</t>
  </si>
  <si>
    <t>Total for LAST TWO WEEKS March</t>
  </si>
  <si>
    <t xml:space="preserve">Happisburgh Parish Council - Payments for the Year April 2017 to March 2018.  </t>
  </si>
  <si>
    <t>APRIL</t>
  </si>
  <si>
    <t>JUNE</t>
  </si>
  <si>
    <t>JULY</t>
  </si>
  <si>
    <t>AUGUST</t>
  </si>
  <si>
    <t>JANUARY</t>
  </si>
  <si>
    <t>S/O</t>
  </si>
  <si>
    <t>PENSION</t>
  </si>
  <si>
    <t>GLASS</t>
  </si>
  <si>
    <t>727</t>
  </si>
  <si>
    <t>HB LIGHTHOUSE</t>
  </si>
  <si>
    <t>DONATION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</si>
  <si>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</si>
  <si>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</si>
  <si>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</si>
  <si>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</si>
  <si>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</si>
  <si>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</si>
  <si>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</si>
  <si>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</si>
  <si>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</si>
  <si>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</si>
  <si>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CLERK</t>
  </si>
  <si>
    <t>SALARY AND EXP</t>
  </si>
  <si>
    <t>TAX</t>
  </si>
  <si>
    <t>NEWSLETTER/YARD</t>
  </si>
  <si>
    <t>EAAA</t>
  </si>
  <si>
    <t>NWACTC</t>
  </si>
  <si>
    <t>1ST RESPONDERS</t>
  </si>
  <si>
    <t>JOHN BAILEY</t>
  </si>
  <si>
    <t>BADMINTON DONATION</t>
  </si>
  <si>
    <t>NORFOLK AGE UK</t>
  </si>
  <si>
    <t>SCHOOL</t>
  </si>
  <si>
    <t>SLCC</t>
  </si>
  <si>
    <t>SUBS</t>
  </si>
  <si>
    <t>March</t>
  </si>
  <si>
    <t>last 2 weeks March</t>
  </si>
  <si>
    <t>end March</t>
  </si>
  <si>
    <t>29.03.17</t>
  </si>
  <si>
    <t>01.04.17</t>
  </si>
  <si>
    <t>13.04.17</t>
  </si>
  <si>
    <t>Precept equivalent from Car Park</t>
  </si>
  <si>
    <t>TRANSFER</t>
  </si>
  <si>
    <t>8.5.17</t>
  </si>
  <si>
    <t>SAVINGS FOR CAR PARK</t>
  </si>
  <si>
    <t>HORNING PARISH COUNCIL PRECEPT 2015/2016</t>
  </si>
  <si>
    <t>ACTUAL</t>
  </si>
  <si>
    <t>Actual</t>
  </si>
  <si>
    <t>Budget</t>
  </si>
  <si>
    <t>2011/2012</t>
  </si>
  <si>
    <t>2012/13</t>
  </si>
  <si>
    <t>2013/14</t>
  </si>
  <si>
    <t>PAYMENTS</t>
  </si>
  <si>
    <t>Admin &amp; Mileage</t>
  </si>
  <si>
    <t>Increase(Decrease) in Strategic Reserve</t>
  </si>
  <si>
    <t>Capital Project</t>
  </si>
  <si>
    <t>Parish Budget</t>
  </si>
  <si>
    <t>RECEIPTS</t>
  </si>
  <si>
    <t>Donations</t>
  </si>
  <si>
    <t xml:space="preserve">Glass  </t>
  </si>
  <si>
    <t>HAPPISBURGH PARISH COUNCIL BUDGET</t>
  </si>
  <si>
    <t>Precept grant</t>
  </si>
  <si>
    <t>Allotment</t>
  </si>
  <si>
    <t>Solar</t>
  </si>
  <si>
    <t>Equivalent</t>
  </si>
  <si>
    <t>Transfers</t>
  </si>
  <si>
    <t>Precept equivalent (TRANSFER)</t>
  </si>
  <si>
    <t>Clerk's Remuneration / Pension</t>
  </si>
  <si>
    <t>738</t>
  </si>
  <si>
    <t>739</t>
  </si>
  <si>
    <t>Salary and exp</t>
  </si>
  <si>
    <t>740</t>
  </si>
  <si>
    <t>741</t>
  </si>
  <si>
    <t>742</t>
  </si>
  <si>
    <t>743</t>
  </si>
  <si>
    <t>Community Heartbeat Trust</t>
  </si>
  <si>
    <t>Pads</t>
  </si>
  <si>
    <t xml:space="preserve">Norfolk ALC </t>
  </si>
  <si>
    <t>subs</t>
  </si>
  <si>
    <t>SIM grass</t>
  </si>
  <si>
    <t>Bartram Mowers</t>
  </si>
  <si>
    <t>Mower</t>
  </si>
  <si>
    <t>05.06.17</t>
  </si>
  <si>
    <t>NCC recycling</t>
  </si>
  <si>
    <t>Glass recycling</t>
  </si>
  <si>
    <t>precept and grant</t>
  </si>
  <si>
    <t>28.04.17</t>
  </si>
  <si>
    <t xml:space="preserve">HAPPISBURGH PARISH COUNCIL 10.02.2017 to </t>
  </si>
  <si>
    <t>DATE</t>
  </si>
  <si>
    <t>Supplier's VAT ref</t>
  </si>
  <si>
    <t>Supplier</t>
  </si>
  <si>
    <t>Description</t>
  </si>
  <si>
    <t>To Whom Addressed</t>
  </si>
  <si>
    <t>VAT paid</t>
  </si>
  <si>
    <t>Happisburgh Parish Council</t>
  </si>
  <si>
    <t>"</t>
  </si>
  <si>
    <t>PC</t>
  </si>
  <si>
    <t>Total</t>
  </si>
  <si>
    <t>CP</t>
  </si>
  <si>
    <t>April</t>
  </si>
  <si>
    <t>New mower</t>
  </si>
  <si>
    <t>Community Heartbeat</t>
  </si>
  <si>
    <t>New pads</t>
  </si>
  <si>
    <t>May</t>
  </si>
  <si>
    <t>20.5.17</t>
  </si>
  <si>
    <t>10.04.17</t>
  </si>
  <si>
    <t>12.06.17</t>
  </si>
  <si>
    <t>D/D</t>
  </si>
  <si>
    <t>Nest</t>
  </si>
  <si>
    <t>Clerk Pension</t>
  </si>
  <si>
    <t>June Glass</t>
  </si>
  <si>
    <t>Tracey Collett</t>
  </si>
  <si>
    <t>Internal audit</t>
  </si>
  <si>
    <t>10.07.17</t>
  </si>
  <si>
    <t>dog bin</t>
  </si>
  <si>
    <t>Post office Ltd tax</t>
  </si>
  <si>
    <t>Play inspection</t>
  </si>
  <si>
    <t>14.06.17</t>
  </si>
  <si>
    <t>Electricity</t>
  </si>
  <si>
    <t>15.06.17</t>
  </si>
  <si>
    <t>CP ACC paid for mower</t>
  </si>
  <si>
    <t>727,730,732,41,42,43</t>
  </si>
  <si>
    <t>chq 730 was for £200 NOT £150 as per May bank rec</t>
  </si>
  <si>
    <t>TOTAL FOR PERIOD APRIL</t>
  </si>
  <si>
    <t>TOTAL FOR PERIOD MAY</t>
  </si>
  <si>
    <t>TOTAL FOR PERIOD JUNE</t>
  </si>
  <si>
    <t>TOTAL FOR PERIOD JULY</t>
  </si>
  <si>
    <t>13.07.17</t>
  </si>
  <si>
    <t>HMRC BARCLAYS VAT</t>
  </si>
  <si>
    <t>11.05.17</t>
  </si>
  <si>
    <t>INTEREST</t>
  </si>
  <si>
    <t>11.09.17</t>
  </si>
  <si>
    <t>Robertson's Mole Control</t>
  </si>
  <si>
    <t>Moles on recreation ground</t>
  </si>
  <si>
    <t>Mazars LLP</t>
  </si>
  <si>
    <t>Salary and expenses</t>
  </si>
  <si>
    <t>13.10.17</t>
  </si>
  <si>
    <t>Salary and Expenses</t>
  </si>
  <si>
    <t>Misc / VAT</t>
  </si>
  <si>
    <t>21.08.17</t>
  </si>
  <si>
    <t>NCC payment urban verges</t>
  </si>
  <si>
    <t>14.09.17</t>
  </si>
  <si>
    <t>July August Sept</t>
  </si>
  <si>
    <t>30.08.17</t>
  </si>
  <si>
    <t>7.09.17</t>
  </si>
  <si>
    <t>Precept and grant</t>
  </si>
  <si>
    <t>29.09.17</t>
  </si>
  <si>
    <t>6.10.17</t>
  </si>
  <si>
    <t>Vattenfall</t>
  </si>
  <si>
    <t>contribution to W/E</t>
  </si>
  <si>
    <t>Budget 2018.19</t>
  </si>
  <si>
    <t>13.11.17</t>
  </si>
  <si>
    <t>External audit</t>
  </si>
  <si>
    <t>mower</t>
  </si>
  <si>
    <t>11.12.17</t>
  </si>
  <si>
    <t>S/o</t>
  </si>
  <si>
    <t>membership</t>
  </si>
  <si>
    <t>NCC BACS</t>
  </si>
  <si>
    <t>13.12.17</t>
  </si>
  <si>
    <t>solar panels</t>
  </si>
  <si>
    <t>11.1.18</t>
  </si>
  <si>
    <t>credited in receipts</t>
  </si>
  <si>
    <t>FEBRUARY</t>
  </si>
  <si>
    <t>credit the dd dog bin</t>
  </si>
  <si>
    <t>nndc never taken despite reminders!</t>
  </si>
  <si>
    <t>12.2.18</t>
  </si>
  <si>
    <t>NSALG</t>
  </si>
  <si>
    <t>PC insurance</t>
  </si>
  <si>
    <t>New dog bin Lighthouse Lane</t>
  </si>
  <si>
    <t>Bank interest?</t>
  </si>
  <si>
    <t>Allotments?</t>
  </si>
  <si>
    <t xml:space="preserve">Allotments </t>
  </si>
  <si>
    <t>12.03.18</t>
  </si>
  <si>
    <t>5.02.18</t>
  </si>
  <si>
    <t>14.03.18</t>
  </si>
  <si>
    <t>HB PC CP</t>
  </si>
  <si>
    <t xml:space="preserve">half of precept </t>
  </si>
  <si>
    <t xml:space="preserve">Happisburgh Parish Council - Payments for the Year April 2018.19 </t>
  </si>
  <si>
    <t>Clerk salary</t>
  </si>
  <si>
    <t>Deposit acc. TRANSFER</t>
  </si>
  <si>
    <t>RELOCATION OF CP</t>
  </si>
  <si>
    <t>Interest in dep acc</t>
  </si>
  <si>
    <t>Total for FIRST TWO WEEKS March</t>
  </si>
  <si>
    <t>16.04.18</t>
  </si>
  <si>
    <t>season tickets</t>
  </si>
  <si>
    <t>HMRC VAT</t>
  </si>
  <si>
    <t>2 x season tickets (should have gone to cp acc)</t>
  </si>
  <si>
    <t>Norfolk Alc</t>
  </si>
  <si>
    <t>Membership</t>
  </si>
  <si>
    <t>ins for floor cleaner</t>
  </si>
  <si>
    <t>TOTAL FOR PERIOD mid to end April</t>
  </si>
  <si>
    <t>30.04.18</t>
  </si>
  <si>
    <t xml:space="preserve">URM </t>
  </si>
  <si>
    <t>hmrc</t>
  </si>
  <si>
    <t>salary and exp july / aug</t>
  </si>
  <si>
    <t>10.04.18</t>
  </si>
  <si>
    <t>20.5.18</t>
  </si>
  <si>
    <t>12.06.18</t>
  </si>
  <si>
    <t>14.06.18</t>
  </si>
  <si>
    <t>EON solar panel</t>
  </si>
  <si>
    <t>10.07.18</t>
  </si>
  <si>
    <t>T Collett</t>
  </si>
  <si>
    <t>13.07.18</t>
  </si>
  <si>
    <t>Natwest</t>
  </si>
  <si>
    <t>end July</t>
  </si>
  <si>
    <t>27.07.18</t>
  </si>
  <si>
    <t>Vattenfall / vanguard / boreas</t>
  </si>
  <si>
    <t>Donation to T&amp;T bell</t>
  </si>
  <si>
    <t>9.9.18</t>
  </si>
  <si>
    <t>8.10.18</t>
  </si>
  <si>
    <t>PKF Littlejohn</t>
  </si>
  <si>
    <t>12.11.18</t>
  </si>
  <si>
    <t>urm</t>
  </si>
  <si>
    <t>training</t>
  </si>
  <si>
    <t>Misc / audits / training</t>
  </si>
  <si>
    <t>TT bell</t>
  </si>
  <si>
    <t>Budget 2019.20</t>
  </si>
  <si>
    <t>15.12.18</t>
  </si>
  <si>
    <t>11.12.18</t>
  </si>
  <si>
    <t>SLCC subs</t>
  </si>
  <si>
    <t>LCPAS</t>
  </si>
  <si>
    <t>July to sept</t>
  </si>
  <si>
    <t>Bank interest to savings account</t>
  </si>
  <si>
    <t>13.09.18</t>
  </si>
  <si>
    <t>EON solar</t>
  </si>
  <si>
    <t>Oct</t>
  </si>
  <si>
    <t>Sept</t>
  </si>
  <si>
    <t>28.09.18</t>
  </si>
  <si>
    <t>14.1.19</t>
  </si>
  <si>
    <t>Cllr DM mileage</t>
  </si>
  <si>
    <t xml:space="preserve">Westcotec </t>
  </si>
  <si>
    <t>Brackets for SAM2</t>
  </si>
  <si>
    <t>11.02.19</t>
  </si>
  <si>
    <t>URM Glass</t>
  </si>
  <si>
    <t>27.12.19</t>
  </si>
  <si>
    <t>bottle recycling</t>
  </si>
  <si>
    <t>11.01.19</t>
  </si>
  <si>
    <t>Groundwork UK</t>
  </si>
  <si>
    <t>14.12.19</t>
  </si>
  <si>
    <t>CP transfer for savings</t>
  </si>
  <si>
    <t>31.12.19</t>
  </si>
  <si>
    <t>1.3.19</t>
  </si>
  <si>
    <t>URMglass</t>
  </si>
  <si>
    <t>11.03.19</t>
  </si>
  <si>
    <t>HMRC Tax</t>
  </si>
  <si>
    <t>PKF Littlejohn LLP</t>
  </si>
  <si>
    <t>Zurich Municipal Insurance</t>
  </si>
  <si>
    <t>Aug</t>
  </si>
  <si>
    <t>1.11.18</t>
  </si>
  <si>
    <t>31.10.18</t>
  </si>
  <si>
    <t>NATWEST</t>
  </si>
  <si>
    <t xml:space="preserve">on clerk sal this says 494.47 but on R&amp;P it said 494.57.  I changed it </t>
  </si>
  <si>
    <t>T&amp;T donation</t>
  </si>
  <si>
    <t>23.01.19</t>
  </si>
  <si>
    <t xml:space="preserve">NCC bacs </t>
  </si>
  <si>
    <t>Delegated grass cutting</t>
  </si>
  <si>
    <t>15.2.19</t>
  </si>
  <si>
    <t>Allotment tenants</t>
  </si>
  <si>
    <t>Rent</t>
  </si>
  <si>
    <t>Horning PC - training</t>
  </si>
  <si>
    <t>Training of Cllrs for other pcs</t>
  </si>
  <si>
    <t>13.12.19</t>
  </si>
  <si>
    <t>precept equivalent pc transfer</t>
  </si>
  <si>
    <t>transfer</t>
  </si>
  <si>
    <t>Bank interest from Jan</t>
  </si>
  <si>
    <t>Bank interest from Feb</t>
  </si>
  <si>
    <t>18.02.19</t>
  </si>
  <si>
    <t>Boshier foundation</t>
  </si>
  <si>
    <t>Donation for bell</t>
  </si>
  <si>
    <t>14.3.19</t>
  </si>
  <si>
    <t>First 2 weeks March</t>
  </si>
  <si>
    <t>Bank interest from March</t>
  </si>
  <si>
    <t>18.03.19</t>
  </si>
  <si>
    <t>Allotment rent</t>
  </si>
  <si>
    <t>29.03.19</t>
  </si>
  <si>
    <t>final 2 weeks March</t>
  </si>
  <si>
    <t>to end July</t>
  </si>
  <si>
    <t>20.7.18</t>
  </si>
  <si>
    <t>total for year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</si>
</sst>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_);[Red]\(&quot;£&quot;#,##0.00\)"/>
    <numFmt numFmtId="173" formatCode="mm/dd/yy"/>
    <numFmt numFmtId="174" formatCode="[$-809]dd\ mmmm\ yy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&quot;£&quot;#,##0"/>
    <numFmt numFmtId="182" formatCode="[$-F800]dddd\,\ mmmm\ dd\,\ yyyy"/>
    <numFmt numFmtId="183" formatCode="[$-409]dddd\,\ mmmm\ d\,\ yyyy"/>
    <numFmt numFmtId="184" formatCode="&quot;£&quot;#,##0.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2"/>
      <name val="Symbol"/>
      <family val="1"/>
    </font>
    <font>
      <sz val="10.5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23"/>
      <name val="Calibri"/>
      <family val="2"/>
    </font>
    <font>
      <sz val="8"/>
      <color indexed="23"/>
      <name val="Calibri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15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15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4" fillId="32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5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7" fillId="0" borderId="0" xfId="0" applyFont="1" applyAlignment="1">
      <alignment horizontal="left" vertical="center" indent="4"/>
    </xf>
    <xf numFmtId="4" fontId="0" fillId="0" borderId="12" xfId="0" applyNumberFormat="1" applyBorder="1" applyAlignment="1">
      <alignment/>
    </xf>
    <xf numFmtId="15" fontId="2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 indent="6"/>
    </xf>
    <xf numFmtId="4" fontId="0" fillId="0" borderId="0" xfId="0" applyNumberFormat="1" applyFont="1" applyAlignment="1">
      <alignment/>
    </xf>
    <xf numFmtId="17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indent="2"/>
    </xf>
    <xf numFmtId="0" fontId="48" fillId="26" borderId="1" xfId="40" applyAlignment="1">
      <alignment/>
    </xf>
    <xf numFmtId="0" fontId="6" fillId="0" borderId="0" xfId="0" applyFont="1" applyAlignment="1">
      <alignment/>
    </xf>
    <xf numFmtId="0" fontId="65" fillId="3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6" fillId="32" borderId="0" xfId="0" applyFont="1" applyFill="1" applyAlignment="1">
      <alignment/>
    </xf>
    <xf numFmtId="0" fontId="67" fillId="0" borderId="10" xfId="0" applyFont="1" applyBorder="1" applyAlignment="1">
      <alignment horizontal="center"/>
    </xf>
    <xf numFmtId="0" fontId="68" fillId="32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7" fontId="68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181" fontId="65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181" fontId="1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62" fillId="0" borderId="10" xfId="0" applyFont="1" applyBorder="1" applyAlignment="1">
      <alignment/>
    </xf>
    <xf numFmtId="0" fontId="67" fillId="0" borderId="10" xfId="0" applyFont="1" applyBorder="1" applyAlignment="1">
      <alignment/>
    </xf>
    <xf numFmtId="181" fontId="68" fillId="32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181" fontId="6" fillId="0" borderId="10" xfId="0" applyNumberFormat="1" applyFont="1" applyBorder="1" applyAlignment="1">
      <alignment/>
    </xf>
    <xf numFmtId="0" fontId="6" fillId="35" borderId="10" xfId="0" applyFont="1" applyFill="1" applyBorder="1" applyAlignment="1">
      <alignment/>
    </xf>
    <xf numFmtId="181" fontId="0" fillId="35" borderId="10" xfId="0" applyNumberForma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5" fillId="32" borderId="10" xfId="0" applyFont="1" applyFill="1" applyBorder="1" applyAlignment="1">
      <alignment/>
    </xf>
    <xf numFmtId="181" fontId="62" fillId="33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173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3" xfId="0" applyFont="1" applyFill="1" applyBorder="1" applyAlignment="1">
      <alignment horizontal="left"/>
    </xf>
    <xf numFmtId="18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15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0" fillId="0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10" xfId="0" applyNumberFormat="1" applyBorder="1" applyAlignment="1">
      <alignment horizontal="right"/>
    </xf>
    <xf numFmtId="182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 wrapText="1"/>
    </xf>
    <xf numFmtId="15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 wrapText="1"/>
    </xf>
    <xf numFmtId="15" fontId="3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15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2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 quotePrefix="1">
      <alignment horizontal="center" wrapText="1"/>
    </xf>
    <xf numFmtId="15" fontId="0" fillId="0" borderId="10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15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right" wrapText="1"/>
    </xf>
    <xf numFmtId="15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181" fontId="62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11" fillId="0" borderId="0" xfId="0" applyNumberFormat="1" applyFont="1" applyBorder="1" applyAlignment="1">
      <alignment/>
    </xf>
    <xf numFmtId="184" fontId="0" fillId="0" borderId="0" xfId="0" applyNumberFormat="1" applyAlignment="1">
      <alignment/>
    </xf>
    <xf numFmtId="15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2" fontId="3" fillId="0" borderId="17" xfId="0" applyNumberFormat="1" applyFont="1" applyBorder="1" applyAlignment="1">
      <alignment horizontal="left" wrapText="1"/>
    </xf>
    <xf numFmtId="2" fontId="3" fillId="0" borderId="17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indent="6"/>
    </xf>
    <xf numFmtId="2" fontId="0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2" fontId="0" fillId="0" borderId="15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/>
    </xf>
    <xf numFmtId="15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2" fontId="3" fillId="0" borderId="15" xfId="0" applyNumberFormat="1" applyFont="1" applyBorder="1" applyAlignment="1">
      <alignment horizontal="left" wrapText="1"/>
    </xf>
    <xf numFmtId="2" fontId="3" fillId="0" borderId="15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70" fillId="0" borderId="11" xfId="0" applyNumberFormat="1" applyFont="1" applyFill="1" applyBorder="1" applyAlignment="1">
      <alignment/>
    </xf>
    <xf numFmtId="2" fontId="70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vertical="center" wrapText="1"/>
    </xf>
    <xf numFmtId="2" fontId="70" fillId="0" borderId="10" xfId="0" applyNumberFormat="1" applyFont="1" applyBorder="1" applyAlignment="1">
      <alignment horizontal="left" wrapText="1"/>
    </xf>
    <xf numFmtId="2" fontId="0" fillId="0" borderId="18" xfId="0" applyNumberFormat="1" applyFont="1" applyBorder="1" applyAlignment="1">
      <alignment horizontal="right" wrapText="1"/>
    </xf>
    <xf numFmtId="15" fontId="0" fillId="0" borderId="15" xfId="0" applyNumberFormat="1" applyFont="1" applyBorder="1" applyAlignment="1">
      <alignment horizontal="left" wrapText="1"/>
    </xf>
    <xf numFmtId="15" fontId="0" fillId="0" borderId="17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  <xf numFmtId="2" fontId="0" fillId="0" borderId="17" xfId="0" applyNumberFormat="1" applyFont="1" applyBorder="1" applyAlignment="1">
      <alignment horizontal="left" wrapText="1"/>
    </xf>
    <xf numFmtId="2" fontId="0" fillId="0" borderId="17" xfId="0" applyNumberFormat="1" applyFont="1" applyBorder="1" applyAlignment="1">
      <alignment horizontal="right" wrapText="1"/>
    </xf>
    <xf numFmtId="15" fontId="6" fillId="0" borderId="19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2" fontId="0" fillId="0" borderId="20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right" wrapText="1"/>
    </xf>
    <xf numFmtId="15" fontId="0" fillId="0" borderId="19" xfId="0" applyNumberFormat="1" applyFont="1" applyBorder="1" applyAlignment="1">
      <alignment horizontal="left" wrapText="1"/>
    </xf>
    <xf numFmtId="2" fontId="0" fillId="0" borderId="20" xfId="0" applyNumberFormat="1" applyFont="1" applyBorder="1" applyAlignment="1">
      <alignment horizontal="right" wrapText="1"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'2018.19 payments'!$Q$122:$Q$126</c:f>
              <c:numCache>
                <c:ptCount val="5"/>
              </c:numCache>
            </c:numRef>
          </c:val>
        </c:ser>
        <c:overlap val="-27"/>
        <c:gapWidth val="219"/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92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5"/>
  <sheetViews>
    <sheetView tabSelected="1" zoomScale="82" zoomScaleNormal="82" zoomScalePageLayoutView="0" workbookViewId="0" topLeftCell="A1">
      <pane xSplit="16" ySplit="3" topLeftCell="Q46" activePane="bottomRight" state="frozen"/>
      <selection pane="topLeft" activeCell="A1" sqref="A1"/>
      <selection pane="topRight" activeCell="Q1" sqref="Q1"/>
      <selection pane="bottomLeft" activeCell="A4" sqref="A4"/>
      <selection pane="bottomRight" activeCell="S77" sqref="S77"/>
    </sheetView>
  </sheetViews>
  <sheetFormatPr defaultColWidth="9.140625" defaultRowHeight="12.75"/>
  <cols>
    <col min="1" max="1" width="15.28125" style="131" customWidth="1"/>
    <col min="2" max="2" width="8.28125" style="141" customWidth="1"/>
    <col min="3" max="3" width="8.00390625" style="132" bestFit="1" customWidth="1"/>
    <col min="4" max="4" width="17.28125" style="132" customWidth="1"/>
    <col min="5" max="5" width="22.57421875" style="132" customWidth="1"/>
    <col min="6" max="6" width="9.57421875" style="123" bestFit="1" customWidth="1"/>
    <col min="7" max="7" width="8.421875" style="123" customWidth="1"/>
    <col min="8" max="8" width="8.8515625" style="123" customWidth="1"/>
    <col min="9" max="9" width="12.28125" style="123" customWidth="1"/>
    <col min="10" max="10" width="12.00390625" style="123" customWidth="1"/>
    <col min="11" max="11" width="9.00390625" style="123" customWidth="1"/>
    <col min="12" max="12" width="10.421875" style="123" customWidth="1"/>
    <col min="13" max="14" width="11.57421875" style="123" bestFit="1" customWidth="1"/>
    <col min="15" max="15" width="8.28125" style="123" customWidth="1"/>
    <col min="16" max="16" width="9.140625" style="123" customWidth="1"/>
    <col min="17" max="17" width="11.421875" style="132" customWidth="1"/>
    <col min="18" max="18" width="11.28125" style="132" bestFit="1" customWidth="1"/>
    <col min="19" max="16384" width="9.140625" style="132" customWidth="1"/>
  </cols>
  <sheetData>
    <row r="1" spans="1:16" s="124" customFormat="1" ht="24" customHeight="1">
      <c r="A1" s="145" t="s">
        <v>354</v>
      </c>
      <c r="B1" s="146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127" customFormat="1" ht="12.75" customHeight="1">
      <c r="A2" s="126" t="s">
        <v>0</v>
      </c>
      <c r="B2" s="147" t="s">
        <v>8</v>
      </c>
      <c r="D2" s="127" t="s">
        <v>9</v>
      </c>
      <c r="E2" s="127" t="s">
        <v>10</v>
      </c>
      <c r="F2" s="128" t="s">
        <v>13</v>
      </c>
      <c r="G2" s="128" t="s">
        <v>20</v>
      </c>
      <c r="H2" s="128" t="s">
        <v>7</v>
      </c>
      <c r="I2" s="128" t="s">
        <v>21</v>
      </c>
      <c r="J2" s="128" t="s">
        <v>152</v>
      </c>
      <c r="K2" s="128" t="s">
        <v>11</v>
      </c>
      <c r="L2" s="128" t="s">
        <v>29</v>
      </c>
      <c r="M2" s="128" t="s">
        <v>37</v>
      </c>
      <c r="N2" s="128" t="s">
        <v>4</v>
      </c>
      <c r="O2" s="128" t="s">
        <v>36</v>
      </c>
      <c r="P2" s="128" t="s">
        <v>25</v>
      </c>
    </row>
    <row r="3" spans="1:16" s="127" customFormat="1" ht="12.75">
      <c r="A3" s="126"/>
      <c r="B3" s="147" t="s">
        <v>12</v>
      </c>
      <c r="C3" s="127" t="s">
        <v>15</v>
      </c>
      <c r="F3" s="128" t="s">
        <v>14</v>
      </c>
      <c r="G3" s="128"/>
      <c r="H3" s="128"/>
      <c r="I3" s="128"/>
      <c r="J3" s="128"/>
      <c r="K3" s="128"/>
      <c r="L3" s="128"/>
      <c r="M3" s="128"/>
      <c r="N3" s="128"/>
      <c r="O3" s="128"/>
      <c r="P3" s="128" t="s">
        <v>26</v>
      </c>
    </row>
    <row r="4" spans="1:16" s="127" customFormat="1" ht="12.75">
      <c r="A4" s="129" t="s">
        <v>178</v>
      </c>
      <c r="B4" s="147"/>
      <c r="E4" s="130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5:17" ht="12.75">
      <c r="E5" s="133"/>
      <c r="Q5" s="132">
        <f aca="true" t="shared" si="0" ref="Q5:Q32">SUM(G5:P5)-F5</f>
        <v>0</v>
      </c>
    </row>
    <row r="6" spans="5:19" ht="15">
      <c r="E6" s="133"/>
      <c r="Q6" s="132">
        <f t="shared" si="0"/>
        <v>0</v>
      </c>
      <c r="S6" s="134"/>
    </row>
    <row r="7" spans="1:19" ht="15">
      <c r="A7" s="131" t="s">
        <v>372</v>
      </c>
      <c r="B7" s="141">
        <v>770</v>
      </c>
      <c r="C7" s="132" t="s">
        <v>16</v>
      </c>
      <c r="D7" s="132" t="s">
        <v>90</v>
      </c>
      <c r="E7" s="133" t="s">
        <v>355</v>
      </c>
      <c r="F7" s="123">
        <v>501.52</v>
      </c>
      <c r="G7" s="123">
        <f>509.48-43.4-40.76</f>
        <v>425.32000000000005</v>
      </c>
      <c r="H7" s="123">
        <v>76.2</v>
      </c>
      <c r="Q7" s="132">
        <f t="shared" si="0"/>
        <v>0</v>
      </c>
      <c r="S7" s="134"/>
    </row>
    <row r="8" spans="1:19" ht="15">
      <c r="A8" s="131" t="s">
        <v>372</v>
      </c>
      <c r="B8" s="141">
        <v>771</v>
      </c>
      <c r="C8" s="132" t="s">
        <v>16</v>
      </c>
      <c r="D8" s="132" t="s">
        <v>84</v>
      </c>
      <c r="E8" s="133" t="s">
        <v>201</v>
      </c>
      <c r="F8" s="123">
        <v>43.4</v>
      </c>
      <c r="G8" s="123">
        <v>43.4</v>
      </c>
      <c r="Q8" s="132">
        <f t="shared" si="0"/>
        <v>0</v>
      </c>
      <c r="S8" s="134"/>
    </row>
    <row r="9" spans="1:19" ht="15">
      <c r="A9" s="131" t="s">
        <v>372</v>
      </c>
      <c r="B9" s="141">
        <v>772</v>
      </c>
      <c r="D9" s="132" t="s">
        <v>138</v>
      </c>
      <c r="E9" s="133" t="s">
        <v>138</v>
      </c>
      <c r="Q9" s="132">
        <f t="shared" si="0"/>
        <v>0</v>
      </c>
      <c r="S9" s="134"/>
    </row>
    <row r="10" spans="1:19" ht="15">
      <c r="A10" s="131" t="s">
        <v>372</v>
      </c>
      <c r="B10" s="141" t="s">
        <v>126</v>
      </c>
      <c r="C10" s="132" t="s">
        <v>16</v>
      </c>
      <c r="D10" s="132" t="s">
        <v>69</v>
      </c>
      <c r="E10" s="133" t="s">
        <v>111</v>
      </c>
      <c r="F10" s="123">
        <v>91.71</v>
      </c>
      <c r="G10" s="123">
        <v>91.71</v>
      </c>
      <c r="Q10" s="132">
        <f t="shared" si="0"/>
        <v>0</v>
      </c>
      <c r="S10" s="134"/>
    </row>
    <row r="11" spans="2:17" s="135" customFormat="1" ht="12.75">
      <c r="B11" s="148"/>
      <c r="E11" s="135" t="s">
        <v>22</v>
      </c>
      <c r="F11" s="137">
        <f aca="true" t="shared" si="1" ref="F11:P11">SUM(F4:F10)</f>
        <v>636.63</v>
      </c>
      <c r="G11" s="137">
        <f t="shared" si="1"/>
        <v>560.4300000000001</v>
      </c>
      <c r="H11" s="137">
        <f t="shared" si="1"/>
        <v>76.2</v>
      </c>
      <c r="I11" s="137">
        <f t="shared" si="1"/>
        <v>0</v>
      </c>
      <c r="J11" s="137">
        <f t="shared" si="1"/>
        <v>0</v>
      </c>
      <c r="K11" s="137">
        <f t="shared" si="1"/>
        <v>0</v>
      </c>
      <c r="L11" s="137">
        <f t="shared" si="1"/>
        <v>0</v>
      </c>
      <c r="M11" s="137">
        <f t="shared" si="1"/>
        <v>0</v>
      </c>
      <c r="N11" s="137">
        <f t="shared" si="1"/>
        <v>0</v>
      </c>
      <c r="O11" s="137">
        <f t="shared" si="1"/>
        <v>0</v>
      </c>
      <c r="P11" s="137">
        <f t="shared" si="1"/>
        <v>0</v>
      </c>
      <c r="Q11" s="132">
        <f t="shared" si="0"/>
        <v>0</v>
      </c>
    </row>
    <row r="12" spans="1:17" s="135" customFormat="1" ht="12.75">
      <c r="A12" s="129" t="s">
        <v>23</v>
      </c>
      <c r="B12" s="148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2">
        <f t="shared" si="0"/>
        <v>0</v>
      </c>
    </row>
    <row r="13" spans="1:17" ht="12.75">
      <c r="A13" s="132"/>
      <c r="Q13" s="132">
        <f t="shared" si="0"/>
        <v>0</v>
      </c>
    </row>
    <row r="14" spans="5:20" ht="12.75">
      <c r="E14" s="133"/>
      <c r="Q14" s="132">
        <f t="shared" si="0"/>
        <v>0</v>
      </c>
      <c r="T14" s="138"/>
    </row>
    <row r="15" spans="1:17" ht="12.75">
      <c r="A15" s="139" t="s">
        <v>373</v>
      </c>
      <c r="B15" s="149" t="s">
        <v>126</v>
      </c>
      <c r="C15" s="133" t="s">
        <v>16</v>
      </c>
      <c r="D15" s="133" t="s">
        <v>285</v>
      </c>
      <c r="E15" s="133" t="s">
        <v>286</v>
      </c>
      <c r="F15" s="140">
        <v>93.54</v>
      </c>
      <c r="G15" s="140">
        <v>93.54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32">
        <f t="shared" si="0"/>
        <v>0</v>
      </c>
    </row>
    <row r="16" spans="1:17" ht="12.75" customHeight="1">
      <c r="A16" s="139" t="s">
        <v>373</v>
      </c>
      <c r="B16" s="149">
        <v>773</v>
      </c>
      <c r="C16" s="133" t="s">
        <v>16</v>
      </c>
      <c r="D16" s="133" t="s">
        <v>364</v>
      </c>
      <c r="E16" s="133" t="s">
        <v>365</v>
      </c>
      <c r="F16" s="140">
        <v>202.8</v>
      </c>
      <c r="G16" s="140"/>
      <c r="H16" s="140"/>
      <c r="I16" s="140">
        <v>202.8</v>
      </c>
      <c r="J16" s="140"/>
      <c r="K16" s="140"/>
      <c r="L16" s="140"/>
      <c r="M16" s="140"/>
      <c r="N16" s="140"/>
      <c r="O16" s="140"/>
      <c r="P16" s="140"/>
      <c r="Q16" s="132">
        <f t="shared" si="0"/>
        <v>0</v>
      </c>
    </row>
    <row r="17" spans="1:17" ht="12.75" customHeight="1">
      <c r="A17" s="139" t="s">
        <v>373</v>
      </c>
      <c r="B17" s="149">
        <v>774</v>
      </c>
      <c r="C17" s="133" t="s">
        <v>16</v>
      </c>
      <c r="D17" s="133" t="s">
        <v>84</v>
      </c>
      <c r="E17" s="133" t="s">
        <v>130</v>
      </c>
      <c r="F17" s="140">
        <v>45.4</v>
      </c>
      <c r="G17" s="140">
        <v>45.4</v>
      </c>
      <c r="H17" s="140"/>
      <c r="I17" s="140"/>
      <c r="J17" s="140"/>
      <c r="K17" s="140"/>
      <c r="L17" s="140"/>
      <c r="M17" s="140"/>
      <c r="N17" s="140"/>
      <c r="O17" s="140"/>
      <c r="P17" s="140"/>
      <c r="Q17" s="132">
        <f t="shared" si="0"/>
        <v>0</v>
      </c>
    </row>
    <row r="18" spans="1:17" ht="12.75">
      <c r="A18" s="139" t="s">
        <v>373</v>
      </c>
      <c r="B18" s="141">
        <v>775</v>
      </c>
      <c r="C18" s="132" t="s">
        <v>16</v>
      </c>
      <c r="D18" s="132" t="s">
        <v>27</v>
      </c>
      <c r="E18" s="132" t="s">
        <v>247</v>
      </c>
      <c r="F18" s="123">
        <v>489.31</v>
      </c>
      <c r="G18" s="123">
        <f>489.31-56.62</f>
        <v>432.69</v>
      </c>
      <c r="H18" s="123">
        <v>56.62</v>
      </c>
      <c r="Q18" s="132">
        <f t="shared" si="0"/>
        <v>0</v>
      </c>
    </row>
    <row r="19" spans="1:17" ht="12.75">
      <c r="A19" s="139" t="s">
        <v>373</v>
      </c>
      <c r="B19" s="141">
        <v>776</v>
      </c>
      <c r="C19" s="132" t="s">
        <v>16</v>
      </c>
      <c r="D19" s="132" t="s">
        <v>63</v>
      </c>
      <c r="E19" s="132" t="s">
        <v>366</v>
      </c>
      <c r="F19" s="123">
        <v>12.16</v>
      </c>
      <c r="N19" s="123">
        <v>12.16</v>
      </c>
      <c r="Q19" s="132">
        <f t="shared" si="0"/>
        <v>0</v>
      </c>
    </row>
    <row r="20" spans="1:17" ht="12.75">
      <c r="A20" s="132" t="s">
        <v>374</v>
      </c>
      <c r="B20" s="141" t="s">
        <v>126</v>
      </c>
      <c r="C20" s="132" t="s">
        <v>16</v>
      </c>
      <c r="D20" s="132" t="s">
        <v>369</v>
      </c>
      <c r="E20" s="133" t="s">
        <v>36</v>
      </c>
      <c r="F20" s="123">
        <v>21.6</v>
      </c>
      <c r="K20" s="123">
        <v>3.6</v>
      </c>
      <c r="O20" s="123">
        <v>18</v>
      </c>
      <c r="Q20" s="132">
        <f t="shared" si="0"/>
        <v>0</v>
      </c>
    </row>
    <row r="21" spans="1:17" ht="12.75">
      <c r="A21" s="132" t="s">
        <v>374</v>
      </c>
      <c r="B21" s="141" t="s">
        <v>126</v>
      </c>
      <c r="C21" s="132" t="s">
        <v>16</v>
      </c>
      <c r="D21" s="132" t="s">
        <v>285</v>
      </c>
      <c r="E21" s="133" t="s">
        <v>286</v>
      </c>
      <c r="F21" s="123">
        <v>93.54</v>
      </c>
      <c r="G21" s="123">
        <v>93.54</v>
      </c>
      <c r="Q21" s="132">
        <f t="shared" si="0"/>
        <v>0</v>
      </c>
    </row>
    <row r="22" spans="1:17" ht="12.75">
      <c r="A22" s="132" t="s">
        <v>374</v>
      </c>
      <c r="B22" s="141">
        <v>778</v>
      </c>
      <c r="C22" s="132" t="s">
        <v>16</v>
      </c>
      <c r="D22" s="132" t="s">
        <v>20</v>
      </c>
      <c r="E22" s="133" t="s">
        <v>98</v>
      </c>
      <c r="F22" s="123">
        <v>509.11</v>
      </c>
      <c r="G22" s="123">
        <f>519.66-45.4-41.57</f>
        <v>432.69</v>
      </c>
      <c r="H22" s="123">
        <v>76.42</v>
      </c>
      <c r="Q22" s="132">
        <f t="shared" si="0"/>
        <v>0</v>
      </c>
    </row>
    <row r="23" spans="1:17" ht="12.75">
      <c r="A23" s="132" t="s">
        <v>374</v>
      </c>
      <c r="B23" s="141">
        <v>777</v>
      </c>
      <c r="C23" s="132" t="s">
        <v>16</v>
      </c>
      <c r="D23" s="132" t="s">
        <v>84</v>
      </c>
      <c r="E23" s="133" t="s">
        <v>130</v>
      </c>
      <c r="F23" s="123">
        <v>45.4</v>
      </c>
      <c r="G23" s="123">
        <v>45.4</v>
      </c>
      <c r="Q23" s="132">
        <f t="shared" si="0"/>
        <v>0</v>
      </c>
    </row>
    <row r="24" spans="5:17" ht="12.75">
      <c r="E24" s="133"/>
      <c r="Q24" s="132">
        <f t="shared" si="0"/>
        <v>0</v>
      </c>
    </row>
    <row r="25" spans="1:17" s="135" customFormat="1" ht="12.75">
      <c r="A25" s="129" t="s">
        <v>179</v>
      </c>
      <c r="B25" s="148"/>
      <c r="E25" s="135" t="s">
        <v>22</v>
      </c>
      <c r="F25" s="137">
        <f aca="true" t="shared" si="2" ref="F25:P25">SUM(F14:F24)</f>
        <v>1512.8600000000001</v>
      </c>
      <c r="G25" s="137">
        <f t="shared" si="2"/>
        <v>1143.26</v>
      </c>
      <c r="H25" s="137">
        <f t="shared" si="2"/>
        <v>133.04</v>
      </c>
      <c r="I25" s="137">
        <f t="shared" si="2"/>
        <v>202.8</v>
      </c>
      <c r="J25" s="137">
        <f t="shared" si="2"/>
        <v>0</v>
      </c>
      <c r="K25" s="137">
        <f t="shared" si="2"/>
        <v>3.6</v>
      </c>
      <c r="L25" s="137">
        <f t="shared" si="2"/>
        <v>0</v>
      </c>
      <c r="M25" s="137">
        <f t="shared" si="2"/>
        <v>0</v>
      </c>
      <c r="N25" s="137">
        <f t="shared" si="2"/>
        <v>12.16</v>
      </c>
      <c r="O25" s="137">
        <f t="shared" si="2"/>
        <v>18</v>
      </c>
      <c r="P25" s="137">
        <f t="shared" si="2"/>
        <v>0</v>
      </c>
      <c r="Q25" s="132">
        <f t="shared" si="0"/>
        <v>0</v>
      </c>
    </row>
    <row r="26" spans="1:17" s="135" customFormat="1" ht="12.75">
      <c r="A26" s="129"/>
      <c r="B26" s="148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2">
        <f t="shared" si="0"/>
        <v>0</v>
      </c>
    </row>
    <row r="27" ht="12.75">
      <c r="Q27" s="132">
        <f t="shared" si="0"/>
        <v>0</v>
      </c>
    </row>
    <row r="28" ht="12.75">
      <c r="Q28" s="132">
        <f t="shared" si="0"/>
        <v>0</v>
      </c>
    </row>
    <row r="29" ht="12.75">
      <c r="Q29" s="132">
        <f t="shared" si="0"/>
        <v>0</v>
      </c>
    </row>
    <row r="30" spans="1:17" ht="12.75">
      <c r="A30" s="132" t="s">
        <v>374</v>
      </c>
      <c r="B30" s="141">
        <v>779</v>
      </c>
      <c r="C30" s="132" t="s">
        <v>16</v>
      </c>
      <c r="D30" s="132" t="s">
        <v>378</v>
      </c>
      <c r="E30" s="133" t="s">
        <v>289</v>
      </c>
      <c r="F30" s="123">
        <v>25</v>
      </c>
      <c r="P30" s="123">
        <v>25</v>
      </c>
      <c r="Q30" s="132">
        <f t="shared" si="0"/>
        <v>0</v>
      </c>
    </row>
    <row r="31" spans="6:17" ht="12.75"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>
        <f t="shared" si="0"/>
        <v>0</v>
      </c>
    </row>
    <row r="32" ht="12.75">
      <c r="Q32" s="132">
        <f t="shared" si="0"/>
        <v>0</v>
      </c>
    </row>
    <row r="33" spans="1:21" s="135" customFormat="1" ht="15">
      <c r="A33" s="129" t="s">
        <v>180</v>
      </c>
      <c r="B33" s="148"/>
      <c r="E33" s="135" t="s">
        <v>22</v>
      </c>
      <c r="F33" s="137">
        <f>SUM(F26:F32)</f>
        <v>25</v>
      </c>
      <c r="G33" s="137">
        <f aca="true" t="shared" si="3" ref="G33:Q33">SUM(G26:G32)</f>
        <v>0</v>
      </c>
      <c r="H33" s="137">
        <f t="shared" si="3"/>
        <v>0</v>
      </c>
      <c r="I33" s="137">
        <f t="shared" si="3"/>
        <v>0</v>
      </c>
      <c r="J33" s="137">
        <f t="shared" si="3"/>
        <v>0</v>
      </c>
      <c r="K33" s="137">
        <f t="shared" si="3"/>
        <v>0</v>
      </c>
      <c r="L33" s="137">
        <f t="shared" si="3"/>
        <v>0</v>
      </c>
      <c r="M33" s="137">
        <f t="shared" si="3"/>
        <v>0</v>
      </c>
      <c r="N33" s="137">
        <f t="shared" si="3"/>
        <v>0</v>
      </c>
      <c r="O33" s="137">
        <f t="shared" si="3"/>
        <v>0</v>
      </c>
      <c r="P33" s="137">
        <f t="shared" si="3"/>
        <v>25</v>
      </c>
      <c r="Q33" s="137">
        <f t="shared" si="3"/>
        <v>0</v>
      </c>
      <c r="U33" s="134"/>
    </row>
    <row r="34" spans="1:21" s="135" customFormat="1" ht="15">
      <c r="A34" s="129"/>
      <c r="B34" s="148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2">
        <f aca="true" t="shared" si="4" ref="Q34:Q41">SUM(G34:P34)-F34</f>
        <v>0</v>
      </c>
      <c r="U34" s="134"/>
    </row>
    <row r="35" spans="1:21" ht="15">
      <c r="A35" s="131" t="s">
        <v>377</v>
      </c>
      <c r="B35" s="141" t="s">
        <v>126</v>
      </c>
      <c r="C35" s="132" t="s">
        <v>16</v>
      </c>
      <c r="D35" s="132" t="s">
        <v>285</v>
      </c>
      <c r="E35" s="132" t="s">
        <v>82</v>
      </c>
      <c r="F35" s="123">
        <v>93.54</v>
      </c>
      <c r="G35" s="123">
        <v>93.54</v>
      </c>
      <c r="Q35" s="132">
        <f t="shared" si="4"/>
        <v>0</v>
      </c>
      <c r="U35" s="134"/>
    </row>
    <row r="36" spans="1:21" ht="15">
      <c r="A36" s="131" t="s">
        <v>377</v>
      </c>
      <c r="B36" s="141" t="s">
        <v>126</v>
      </c>
      <c r="C36" s="132" t="s">
        <v>16</v>
      </c>
      <c r="D36" s="132" t="s">
        <v>285</v>
      </c>
      <c r="E36" s="132" t="s">
        <v>82</v>
      </c>
      <c r="F36" s="123">
        <v>90.52</v>
      </c>
      <c r="G36" s="123">
        <v>90.52</v>
      </c>
      <c r="Q36" s="132">
        <f t="shared" si="4"/>
        <v>0</v>
      </c>
      <c r="U36" s="134"/>
    </row>
    <row r="37" spans="1:21" ht="15">
      <c r="A37" s="131" t="s">
        <v>377</v>
      </c>
      <c r="B37" s="141">
        <v>780</v>
      </c>
      <c r="D37" s="132" t="s">
        <v>370</v>
      </c>
      <c r="E37" s="132" t="s">
        <v>96</v>
      </c>
      <c r="F37" s="123">
        <v>87.6</v>
      </c>
      <c r="G37" s="123">
        <v>87.6</v>
      </c>
      <c r="Q37" s="132">
        <f t="shared" si="4"/>
        <v>0</v>
      </c>
      <c r="U37" s="134"/>
    </row>
    <row r="38" spans="1:21" ht="15">
      <c r="A38" s="131" t="s">
        <v>377</v>
      </c>
      <c r="B38" s="141">
        <v>781</v>
      </c>
      <c r="C38" s="132" t="s">
        <v>16</v>
      </c>
      <c r="D38" s="132" t="s">
        <v>27</v>
      </c>
      <c r="E38" s="132" t="s">
        <v>371</v>
      </c>
      <c r="F38" s="123">
        <v>952.44</v>
      </c>
      <c r="G38" s="123">
        <f>519.66+502.9-42-40.23-41.57-45.6</f>
        <v>853.1599999999999</v>
      </c>
      <c r="H38" s="123">
        <f>37.5+61.78</f>
        <v>99.28</v>
      </c>
      <c r="Q38" s="132">
        <f t="shared" si="4"/>
        <v>0</v>
      </c>
      <c r="U38" s="134"/>
    </row>
    <row r="39" ht="12.75">
      <c r="Q39" s="132">
        <f t="shared" si="4"/>
        <v>0</v>
      </c>
    </row>
    <row r="40" ht="12.75">
      <c r="Q40" s="132">
        <f t="shared" si="4"/>
        <v>0</v>
      </c>
    </row>
    <row r="41" ht="12.75">
      <c r="Q41" s="132">
        <f t="shared" si="4"/>
        <v>0</v>
      </c>
    </row>
    <row r="42" spans="1:17" ht="12.75">
      <c r="A42" s="129" t="s">
        <v>181</v>
      </c>
      <c r="B42" s="148"/>
      <c r="C42" s="135"/>
      <c r="D42" s="135"/>
      <c r="E42" s="135" t="s">
        <v>22</v>
      </c>
      <c r="F42" s="137">
        <f>SUM(F34:F40)</f>
        <v>1224.1</v>
      </c>
      <c r="G42" s="137">
        <f aca="true" t="shared" si="5" ref="G42:P42">SUM(G34:G40)</f>
        <v>1124.8199999999997</v>
      </c>
      <c r="H42" s="137">
        <f t="shared" si="5"/>
        <v>99.28</v>
      </c>
      <c r="I42" s="137">
        <f t="shared" si="5"/>
        <v>0</v>
      </c>
      <c r="J42" s="137">
        <f t="shared" si="5"/>
        <v>0</v>
      </c>
      <c r="K42" s="137">
        <f t="shared" si="5"/>
        <v>0</v>
      </c>
      <c r="L42" s="137">
        <f t="shared" si="5"/>
        <v>0</v>
      </c>
      <c r="M42" s="137">
        <f t="shared" si="5"/>
        <v>0</v>
      </c>
      <c r="N42" s="137">
        <f t="shared" si="5"/>
        <v>0</v>
      </c>
      <c r="O42" s="137">
        <f t="shared" si="5"/>
        <v>0</v>
      </c>
      <c r="P42" s="137">
        <f t="shared" si="5"/>
        <v>0</v>
      </c>
      <c r="Q42" s="132">
        <f aca="true" t="shared" si="6" ref="Q42:Q52">SUM(G42:P42)-F42</f>
        <v>0</v>
      </c>
    </row>
    <row r="43" spans="1:17" ht="12.75">
      <c r="A43" s="129"/>
      <c r="B43" s="148"/>
      <c r="C43" s="135"/>
      <c r="D43" s="135"/>
      <c r="E43" s="135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2">
        <f t="shared" si="6"/>
        <v>0</v>
      </c>
    </row>
    <row r="44" spans="1:17" ht="12.75">
      <c r="A44" s="131" t="s">
        <v>454</v>
      </c>
      <c r="B44" s="141" t="s">
        <v>68</v>
      </c>
      <c r="D44" s="132" t="s">
        <v>369</v>
      </c>
      <c r="E44" s="132" t="s">
        <v>83</v>
      </c>
      <c r="F44" s="123">
        <v>13.32</v>
      </c>
      <c r="K44" s="123">
        <v>2.22</v>
      </c>
      <c r="O44" s="123">
        <v>11.1</v>
      </c>
      <c r="Q44" s="132">
        <f t="shared" si="6"/>
        <v>0</v>
      </c>
    </row>
    <row r="45" spans="1:17" ht="12.75">
      <c r="A45" s="129"/>
      <c r="B45" s="148"/>
      <c r="C45" s="135"/>
      <c r="D45" s="135"/>
      <c r="E45" s="135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2">
        <f t="shared" si="6"/>
        <v>0</v>
      </c>
    </row>
    <row r="46" spans="1:17" ht="12.75">
      <c r="A46" s="129" t="s">
        <v>453</v>
      </c>
      <c r="B46" s="148"/>
      <c r="C46" s="135"/>
      <c r="D46" s="135"/>
      <c r="E46" s="135" t="s">
        <v>22</v>
      </c>
      <c r="F46" s="137">
        <f>F44</f>
        <v>13.32</v>
      </c>
      <c r="G46" s="137">
        <f aca="true" t="shared" si="7" ref="G46:P46">G44</f>
        <v>0</v>
      </c>
      <c r="H46" s="137">
        <f t="shared" si="7"/>
        <v>0</v>
      </c>
      <c r="I46" s="137">
        <f t="shared" si="7"/>
        <v>0</v>
      </c>
      <c r="J46" s="137">
        <f t="shared" si="7"/>
        <v>0</v>
      </c>
      <c r="K46" s="137">
        <f t="shared" si="7"/>
        <v>2.22</v>
      </c>
      <c r="L46" s="137">
        <f t="shared" si="7"/>
        <v>0</v>
      </c>
      <c r="M46" s="137">
        <f t="shared" si="7"/>
        <v>0</v>
      </c>
      <c r="N46" s="137">
        <f t="shared" si="7"/>
        <v>0</v>
      </c>
      <c r="O46" s="137">
        <f t="shared" si="7"/>
        <v>11.1</v>
      </c>
      <c r="P46" s="137">
        <f t="shared" si="7"/>
        <v>0</v>
      </c>
      <c r="Q46" s="132">
        <f t="shared" si="6"/>
        <v>0</v>
      </c>
    </row>
    <row r="47" spans="1:21" ht="15">
      <c r="A47" s="131" t="s">
        <v>385</v>
      </c>
      <c r="B47" s="141" t="s">
        <v>103</v>
      </c>
      <c r="C47" s="132" t="s">
        <v>16</v>
      </c>
      <c r="D47" s="132" t="s">
        <v>285</v>
      </c>
      <c r="E47" s="132" t="s">
        <v>82</v>
      </c>
      <c r="F47" s="123">
        <v>93.54</v>
      </c>
      <c r="G47" s="123">
        <v>93.54</v>
      </c>
      <c r="Q47" s="132">
        <f t="shared" si="6"/>
        <v>0</v>
      </c>
      <c r="U47" s="134"/>
    </row>
    <row r="48" spans="1:21" ht="15">
      <c r="A48" s="131" t="s">
        <v>385</v>
      </c>
      <c r="B48" s="141">
        <v>782</v>
      </c>
      <c r="C48" s="132" t="s">
        <v>16</v>
      </c>
      <c r="D48" s="132" t="s">
        <v>84</v>
      </c>
      <c r="E48" s="132" t="s">
        <v>96</v>
      </c>
      <c r="F48" s="123">
        <v>45.4</v>
      </c>
      <c r="G48" s="123">
        <v>45.4</v>
      </c>
      <c r="Q48" s="132">
        <f t="shared" si="6"/>
        <v>0</v>
      </c>
      <c r="U48" s="134"/>
    </row>
    <row r="49" spans="1:21" ht="15">
      <c r="A49" s="131" t="s">
        <v>385</v>
      </c>
      <c r="B49" s="141">
        <v>783</v>
      </c>
      <c r="C49" s="132" t="s">
        <v>16</v>
      </c>
      <c r="D49" s="132" t="s">
        <v>27</v>
      </c>
      <c r="E49" s="132" t="s">
        <v>312</v>
      </c>
      <c r="F49" s="123">
        <v>512.65</v>
      </c>
      <c r="G49" s="123">
        <f>519.66-45.4-41.57</f>
        <v>432.69</v>
      </c>
      <c r="H49" s="123">
        <v>79.96</v>
      </c>
      <c r="Q49" s="132">
        <f t="shared" si="6"/>
        <v>0</v>
      </c>
      <c r="U49" s="134"/>
    </row>
    <row r="50" spans="1:17" ht="12.75">
      <c r="A50" s="131" t="s">
        <v>386</v>
      </c>
      <c r="B50" s="141" t="s">
        <v>126</v>
      </c>
      <c r="C50" s="132" t="s">
        <v>16</v>
      </c>
      <c r="D50" s="132" t="s">
        <v>285</v>
      </c>
      <c r="E50" s="132" t="s">
        <v>286</v>
      </c>
      <c r="F50" s="144">
        <v>93.54</v>
      </c>
      <c r="G50" s="123">
        <v>93.54</v>
      </c>
      <c r="Q50" s="132">
        <f t="shared" si="6"/>
        <v>0</v>
      </c>
    </row>
    <row r="51" spans="1:17" ht="12.75">
      <c r="A51" s="131" t="s">
        <v>386</v>
      </c>
      <c r="B51" s="141" t="s">
        <v>126</v>
      </c>
      <c r="C51" s="132" t="s">
        <v>16</v>
      </c>
      <c r="D51" s="132" t="s">
        <v>65</v>
      </c>
      <c r="E51" s="132" t="s">
        <v>36</v>
      </c>
      <c r="F51" s="123">
        <v>27</v>
      </c>
      <c r="K51" s="123">
        <v>4.5</v>
      </c>
      <c r="O51" s="123">
        <v>22.5</v>
      </c>
      <c r="Q51" s="132">
        <f t="shared" si="6"/>
        <v>0</v>
      </c>
    </row>
    <row r="52" spans="1:17" ht="12.75">
      <c r="A52" s="131" t="s">
        <v>386</v>
      </c>
      <c r="B52" s="141">
        <v>784</v>
      </c>
      <c r="C52" s="132" t="s">
        <v>16</v>
      </c>
      <c r="D52" s="132" t="s">
        <v>84</v>
      </c>
      <c r="E52" s="132" t="s">
        <v>130</v>
      </c>
      <c r="F52" s="123">
        <v>45.4</v>
      </c>
      <c r="G52" s="123">
        <v>45.4</v>
      </c>
      <c r="Q52" s="132">
        <f t="shared" si="6"/>
        <v>0</v>
      </c>
    </row>
    <row r="53" spans="1:255" ht="38.25">
      <c r="A53" s="129" t="s">
        <v>112</v>
      </c>
      <c r="B53" s="148"/>
      <c r="C53" s="135"/>
      <c r="D53" s="135"/>
      <c r="E53" s="135" t="s">
        <v>22</v>
      </c>
      <c r="F53" s="137">
        <f>SUM(F47:F52)</f>
        <v>817.5299999999999</v>
      </c>
      <c r="G53" s="137">
        <f>SUM(G47:G52)</f>
        <v>710.5699999999999</v>
      </c>
      <c r="H53" s="137">
        <f>SUM(H47:H49)</f>
        <v>79.96</v>
      </c>
      <c r="I53" s="137">
        <f>SUM(I47:I49)</f>
        <v>0</v>
      </c>
      <c r="J53" s="137">
        <f>SUM(J47:J49)</f>
        <v>0</v>
      </c>
      <c r="K53" s="137">
        <f>SUM(K49:K51)</f>
        <v>4.5</v>
      </c>
      <c r="L53" s="137">
        <f>SUM(L47:L49)</f>
        <v>0</v>
      </c>
      <c r="M53" s="137">
        <f>SUM(M47:M49)</f>
        <v>0</v>
      </c>
      <c r="N53" s="137">
        <f>SUM(N47:N49)</f>
        <v>0</v>
      </c>
      <c r="O53" s="137">
        <f>SUM(O47:O51)</f>
        <v>22.5</v>
      </c>
      <c r="P53" s="137">
        <f>SUM(P47:P49)</f>
        <v>0</v>
      </c>
      <c r="Q53" s="132">
        <f aca="true" t="shared" si="8" ref="Q53:Q81">SUM(G53:P53)-F53</f>
        <v>0</v>
      </c>
      <c r="R53" s="135"/>
      <c r="S53" s="134"/>
      <c r="T53" s="135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F53" s="129"/>
      <c r="AG53" s="136"/>
      <c r="AH53" s="135"/>
      <c r="AI53" s="135"/>
      <c r="AJ53" s="135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V53" s="129"/>
      <c r="AW53" s="136"/>
      <c r="AX53" s="135"/>
      <c r="AY53" s="135"/>
      <c r="AZ53" s="135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L53" s="129"/>
      <c r="BM53" s="136"/>
      <c r="BN53" s="135"/>
      <c r="BO53" s="135"/>
      <c r="BP53" s="135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B53" s="129"/>
      <c r="CC53" s="136"/>
      <c r="CD53" s="135"/>
      <c r="CE53" s="135"/>
      <c r="CF53" s="135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R53" s="129"/>
      <c r="CS53" s="136"/>
      <c r="CT53" s="135"/>
      <c r="CU53" s="135"/>
      <c r="CV53" s="135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H53" s="129"/>
      <c r="DI53" s="136"/>
      <c r="DJ53" s="135"/>
      <c r="DK53" s="135"/>
      <c r="DL53" s="135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X53" s="129"/>
      <c r="DY53" s="136"/>
      <c r="DZ53" s="135"/>
      <c r="EA53" s="135"/>
      <c r="EB53" s="135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N53" s="129"/>
      <c r="EO53" s="136"/>
      <c r="EP53" s="135"/>
      <c r="EQ53" s="135"/>
      <c r="ER53" s="135"/>
      <c r="ES53" s="137">
        <f>SUM(ES41:ES46)</f>
        <v>0</v>
      </c>
      <c r="ET53" s="137">
        <f aca="true" t="shared" si="9" ref="ET53:FA53">SUM(ET41:ET50)</f>
        <v>0</v>
      </c>
      <c r="EU53" s="137">
        <f t="shared" si="9"/>
        <v>0</v>
      </c>
      <c r="EV53" s="137">
        <f t="shared" si="9"/>
        <v>0</v>
      </c>
      <c r="EW53" s="137">
        <f t="shared" si="9"/>
        <v>0</v>
      </c>
      <c r="EX53" s="137">
        <f t="shared" si="9"/>
        <v>0</v>
      </c>
      <c r="EY53" s="137">
        <f t="shared" si="9"/>
        <v>0</v>
      </c>
      <c r="EZ53" s="137">
        <f t="shared" si="9"/>
        <v>0</v>
      </c>
      <c r="FA53" s="137">
        <f t="shared" si="9"/>
        <v>0</v>
      </c>
      <c r="FB53" s="137">
        <f>SUM(FB41:FB46)</f>
        <v>0</v>
      </c>
      <c r="FC53" s="132">
        <f>SUM(EM51:EU51)-EL51</f>
        <v>0</v>
      </c>
      <c r="FD53" s="129" t="s">
        <v>38</v>
      </c>
      <c r="FE53" s="136"/>
      <c r="FF53" s="135"/>
      <c r="FG53" s="135"/>
      <c r="FH53" s="135" t="s">
        <v>22</v>
      </c>
      <c r="FI53" s="137">
        <f>SUM(FI41:FI46)</f>
        <v>0</v>
      </c>
      <c r="FJ53" s="137">
        <f aca="true" t="shared" si="10" ref="FJ53:FQ53">SUM(FJ41:FJ50)</f>
        <v>0</v>
      </c>
      <c r="FK53" s="137">
        <f t="shared" si="10"/>
        <v>0</v>
      </c>
      <c r="FL53" s="137">
        <f t="shared" si="10"/>
        <v>0</v>
      </c>
      <c r="FM53" s="137">
        <f t="shared" si="10"/>
        <v>0</v>
      </c>
      <c r="FN53" s="137">
        <f t="shared" si="10"/>
        <v>0</v>
      </c>
      <c r="FO53" s="137">
        <f t="shared" si="10"/>
        <v>0</v>
      </c>
      <c r="FP53" s="137">
        <f t="shared" si="10"/>
        <v>0</v>
      </c>
      <c r="FQ53" s="137">
        <f t="shared" si="10"/>
        <v>0</v>
      </c>
      <c r="FR53" s="137">
        <f>SUM(FR41:FR46)</f>
        <v>0</v>
      </c>
      <c r="FS53" s="132">
        <f>SUM(FC51:FK51)-FB51</f>
        <v>0</v>
      </c>
      <c r="FT53" s="129" t="s">
        <v>38</v>
      </c>
      <c r="FU53" s="136"/>
      <c r="FV53" s="135"/>
      <c r="FW53" s="135"/>
      <c r="FX53" s="135" t="s">
        <v>22</v>
      </c>
      <c r="FY53" s="137">
        <f>SUM(FY41:FY46)</f>
        <v>0</v>
      </c>
      <c r="FZ53" s="137">
        <f aca="true" t="shared" si="11" ref="FZ53:GG53">SUM(FZ41:FZ50)</f>
        <v>0</v>
      </c>
      <c r="GA53" s="137">
        <f t="shared" si="11"/>
        <v>0</v>
      </c>
      <c r="GB53" s="137">
        <f t="shared" si="11"/>
        <v>0</v>
      </c>
      <c r="GC53" s="137">
        <f t="shared" si="11"/>
        <v>0</v>
      </c>
      <c r="GD53" s="137">
        <f t="shared" si="11"/>
        <v>0</v>
      </c>
      <c r="GE53" s="137">
        <f t="shared" si="11"/>
        <v>0</v>
      </c>
      <c r="GF53" s="137">
        <f t="shared" si="11"/>
        <v>0</v>
      </c>
      <c r="GG53" s="137">
        <f t="shared" si="11"/>
        <v>0</v>
      </c>
      <c r="GH53" s="137">
        <f>SUM(GH41:GH46)</f>
        <v>0</v>
      </c>
      <c r="GI53" s="132">
        <f>SUM(FS51:GA51)-FR51</f>
        <v>0</v>
      </c>
      <c r="GJ53" s="129" t="s">
        <v>38</v>
      </c>
      <c r="GK53" s="136"/>
      <c r="GL53" s="135"/>
      <c r="GM53" s="135"/>
      <c r="GN53" s="135" t="s">
        <v>22</v>
      </c>
      <c r="GO53" s="137">
        <f>SUM(GO41:GO46)</f>
        <v>0</v>
      </c>
      <c r="GP53" s="137">
        <f aca="true" t="shared" si="12" ref="GP53:GW53">SUM(GP41:GP50)</f>
        <v>0</v>
      </c>
      <c r="GQ53" s="137">
        <f t="shared" si="12"/>
        <v>0</v>
      </c>
      <c r="GR53" s="137">
        <f t="shared" si="12"/>
        <v>0</v>
      </c>
      <c r="GS53" s="137">
        <f t="shared" si="12"/>
        <v>0</v>
      </c>
      <c r="GT53" s="137">
        <f t="shared" si="12"/>
        <v>0</v>
      </c>
      <c r="GU53" s="137">
        <f t="shared" si="12"/>
        <v>0</v>
      </c>
      <c r="GV53" s="137">
        <f t="shared" si="12"/>
        <v>0</v>
      </c>
      <c r="GW53" s="137">
        <f t="shared" si="12"/>
        <v>0</v>
      </c>
      <c r="GX53" s="137">
        <f>SUM(GX41:GX46)</f>
        <v>0</v>
      </c>
      <c r="GY53" s="132">
        <f>SUM(GI51:GQ51)-GH51</f>
        <v>0</v>
      </c>
      <c r="GZ53" s="129" t="s">
        <v>38</v>
      </c>
      <c r="HA53" s="136"/>
      <c r="HB53" s="135"/>
      <c r="HC53" s="135"/>
      <c r="HD53" s="135" t="s">
        <v>22</v>
      </c>
      <c r="HE53" s="137">
        <f>SUM(HE41:HE46)</f>
        <v>0</v>
      </c>
      <c r="HF53" s="137">
        <f aca="true" t="shared" si="13" ref="HF53:HM53">SUM(HF41:HF50)</f>
        <v>0</v>
      </c>
      <c r="HG53" s="137">
        <f t="shared" si="13"/>
        <v>0</v>
      </c>
      <c r="HH53" s="137">
        <f t="shared" si="13"/>
        <v>0</v>
      </c>
      <c r="HI53" s="137">
        <f t="shared" si="13"/>
        <v>0</v>
      </c>
      <c r="HJ53" s="137">
        <f t="shared" si="13"/>
        <v>0</v>
      </c>
      <c r="HK53" s="137">
        <f t="shared" si="13"/>
        <v>0</v>
      </c>
      <c r="HL53" s="137">
        <f t="shared" si="13"/>
        <v>0</v>
      </c>
      <c r="HM53" s="137">
        <f t="shared" si="13"/>
        <v>0</v>
      </c>
      <c r="HN53" s="137">
        <f>SUM(HN41:HN46)</f>
        <v>0</v>
      </c>
      <c r="HO53" s="132">
        <f>SUM(GY51:HG51)-GX51</f>
        <v>0</v>
      </c>
      <c r="HP53" s="129" t="s">
        <v>38</v>
      </c>
      <c r="HQ53" s="136"/>
      <c r="HR53" s="135"/>
      <c r="HS53" s="135"/>
      <c r="HT53" s="135" t="s">
        <v>22</v>
      </c>
      <c r="HU53" s="137">
        <f>SUM(HU41:HU46)</f>
        <v>0</v>
      </c>
      <c r="HV53" s="137">
        <f aca="true" t="shared" si="14" ref="HV53:IC53">SUM(HV41:HV50)</f>
        <v>0</v>
      </c>
      <c r="HW53" s="137">
        <f t="shared" si="14"/>
        <v>0</v>
      </c>
      <c r="HX53" s="137">
        <f t="shared" si="14"/>
        <v>0</v>
      </c>
      <c r="HY53" s="137">
        <f t="shared" si="14"/>
        <v>0</v>
      </c>
      <c r="HZ53" s="137">
        <f t="shared" si="14"/>
        <v>0</v>
      </c>
      <c r="IA53" s="137">
        <f t="shared" si="14"/>
        <v>0</v>
      </c>
      <c r="IB53" s="137">
        <f t="shared" si="14"/>
        <v>0</v>
      </c>
      <c r="IC53" s="137">
        <f t="shared" si="14"/>
        <v>0</v>
      </c>
      <c r="ID53" s="137">
        <f>SUM(ID41:ID46)</f>
        <v>0</v>
      </c>
      <c r="IE53" s="132">
        <f>SUM(HO51:HW51)-HN51</f>
        <v>0</v>
      </c>
      <c r="IF53" s="129" t="s">
        <v>38</v>
      </c>
      <c r="IG53" s="136"/>
      <c r="IH53" s="135"/>
      <c r="II53" s="135"/>
      <c r="IJ53" s="135" t="s">
        <v>22</v>
      </c>
      <c r="IK53" s="137">
        <f>SUM(IK41:IK46)</f>
        <v>0</v>
      </c>
      <c r="IL53" s="137">
        <f aca="true" t="shared" si="15" ref="IL53:IS53">SUM(IL41:IL50)</f>
        <v>0</v>
      </c>
      <c r="IM53" s="137">
        <f t="shared" si="15"/>
        <v>0</v>
      </c>
      <c r="IN53" s="137">
        <f t="shared" si="15"/>
        <v>0</v>
      </c>
      <c r="IO53" s="137">
        <f t="shared" si="15"/>
        <v>0</v>
      </c>
      <c r="IP53" s="137">
        <f t="shared" si="15"/>
        <v>0</v>
      </c>
      <c r="IQ53" s="137">
        <f t="shared" si="15"/>
        <v>0</v>
      </c>
      <c r="IR53" s="137">
        <f t="shared" si="15"/>
        <v>0</v>
      </c>
      <c r="IS53" s="137">
        <f t="shared" si="15"/>
        <v>0</v>
      </c>
      <c r="IT53" s="137">
        <f>SUM(IT41:IT46)</f>
        <v>0</v>
      </c>
      <c r="IU53" s="132">
        <f>SUM(IE51:IM51)-ID51</f>
        <v>0</v>
      </c>
    </row>
    <row r="54" spans="1:247" ht="12.75">
      <c r="A54" s="129"/>
      <c r="B54" s="148"/>
      <c r="C54" s="135"/>
      <c r="D54" s="135"/>
      <c r="E54" s="135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2">
        <f t="shared" si="8"/>
        <v>0</v>
      </c>
      <c r="R54" s="137"/>
      <c r="S54" s="137"/>
      <c r="T54" s="137"/>
      <c r="U54" s="137"/>
      <c r="V54" s="137"/>
      <c r="W54" s="137"/>
      <c r="Y54" s="129"/>
      <c r="Z54" s="136"/>
      <c r="AA54" s="135"/>
      <c r="AB54" s="135"/>
      <c r="AC54" s="135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O54" s="129"/>
      <c r="AP54" s="136"/>
      <c r="AQ54" s="135"/>
      <c r="AR54" s="135"/>
      <c r="AS54" s="135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E54" s="129"/>
      <c r="BF54" s="136"/>
      <c r="BG54" s="135"/>
      <c r="BH54" s="135"/>
      <c r="BI54" s="135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U54" s="129"/>
      <c r="BV54" s="136"/>
      <c r="BW54" s="135"/>
      <c r="BX54" s="135"/>
      <c r="BY54" s="135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K54" s="129"/>
      <c r="CL54" s="136"/>
      <c r="CM54" s="135"/>
      <c r="CN54" s="135"/>
      <c r="CO54" s="135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DA54" s="129"/>
      <c r="DB54" s="136"/>
      <c r="DC54" s="135"/>
      <c r="DD54" s="135"/>
      <c r="DE54" s="135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Q54" s="129"/>
      <c r="DR54" s="136"/>
      <c r="DS54" s="135"/>
      <c r="DT54" s="135"/>
      <c r="DU54" s="135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G54" s="129"/>
      <c r="EH54" s="136"/>
      <c r="EI54" s="135"/>
      <c r="EJ54" s="135"/>
      <c r="EK54" s="135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W54" s="129"/>
      <c r="EX54" s="136"/>
      <c r="EY54" s="135"/>
      <c r="EZ54" s="135"/>
      <c r="FA54" s="135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M54" s="129"/>
      <c r="FN54" s="136"/>
      <c r="FO54" s="135"/>
      <c r="FP54" s="135"/>
      <c r="FQ54" s="135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C54" s="129"/>
      <c r="GD54" s="136"/>
      <c r="GE54" s="135"/>
      <c r="GF54" s="135"/>
      <c r="GG54" s="135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S54" s="129"/>
      <c r="GT54" s="136"/>
      <c r="GU54" s="135"/>
      <c r="GV54" s="135"/>
      <c r="GW54" s="135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I54" s="129"/>
      <c r="HJ54" s="136"/>
      <c r="HK54" s="135"/>
      <c r="HL54" s="135"/>
      <c r="HM54" s="135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Y54" s="129"/>
      <c r="HZ54" s="136"/>
      <c r="IA54" s="135"/>
      <c r="IB54" s="135"/>
      <c r="IC54" s="135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</row>
    <row r="55" ht="12.75">
      <c r="Q55" s="132">
        <f t="shared" si="8"/>
        <v>0</v>
      </c>
    </row>
    <row r="56" spans="1:18" ht="76.5">
      <c r="A56" s="131" t="s">
        <v>386</v>
      </c>
      <c r="B56" s="141">
        <v>785</v>
      </c>
      <c r="C56" s="132" t="s">
        <v>16</v>
      </c>
      <c r="D56" s="132" t="s">
        <v>27</v>
      </c>
      <c r="E56" s="132" t="s">
        <v>312</v>
      </c>
      <c r="F56" s="123">
        <v>494.57</v>
      </c>
      <c r="G56" s="175">
        <f>519.76-45.4-41.57</f>
        <v>432.79</v>
      </c>
      <c r="H56" s="123">
        <v>61.78</v>
      </c>
      <c r="Q56" s="132">
        <f t="shared" si="8"/>
        <v>0</v>
      </c>
      <c r="R56" s="177" t="s">
        <v>428</v>
      </c>
    </row>
    <row r="57" spans="1:17" ht="12.75">
      <c r="A57" s="131" t="s">
        <v>386</v>
      </c>
      <c r="B57" s="141">
        <v>786</v>
      </c>
      <c r="C57" s="132" t="s">
        <v>16</v>
      </c>
      <c r="D57" s="132" t="s">
        <v>387</v>
      </c>
      <c r="E57" s="132" t="s">
        <v>329</v>
      </c>
      <c r="F57" s="123">
        <v>240</v>
      </c>
      <c r="K57" s="123">
        <v>40</v>
      </c>
      <c r="P57" s="123">
        <v>200</v>
      </c>
      <c r="Q57" s="132">
        <f t="shared" si="8"/>
        <v>0</v>
      </c>
    </row>
    <row r="58" spans="1:21" ht="15">
      <c r="A58" s="131" t="s">
        <v>388</v>
      </c>
      <c r="B58" s="141" t="s">
        <v>126</v>
      </c>
      <c r="C58" s="132" t="s">
        <v>16</v>
      </c>
      <c r="D58" s="132" t="s">
        <v>285</v>
      </c>
      <c r="E58" s="132" t="s">
        <v>286</v>
      </c>
      <c r="F58" s="123">
        <v>93.54</v>
      </c>
      <c r="G58" s="123">
        <v>93.54</v>
      </c>
      <c r="Q58" s="132">
        <f t="shared" si="8"/>
        <v>0</v>
      </c>
      <c r="U58" s="134"/>
    </row>
    <row r="59" spans="1:21" ht="15">
      <c r="A59" s="131" t="s">
        <v>388</v>
      </c>
      <c r="B59" s="141" t="s">
        <v>126</v>
      </c>
      <c r="C59" s="132" t="s">
        <v>16</v>
      </c>
      <c r="D59" s="132" t="s">
        <v>389</v>
      </c>
      <c r="E59" s="132" t="s">
        <v>83</v>
      </c>
      <c r="F59" s="123">
        <v>16.2</v>
      </c>
      <c r="K59" s="123">
        <v>2.7</v>
      </c>
      <c r="O59" s="123">
        <v>13.5</v>
      </c>
      <c r="Q59" s="132">
        <f t="shared" si="8"/>
        <v>0</v>
      </c>
      <c r="U59" s="134"/>
    </row>
    <row r="60" spans="1:21" ht="15">
      <c r="A60" s="131" t="s">
        <v>388</v>
      </c>
      <c r="B60" s="141">
        <v>787</v>
      </c>
      <c r="C60" s="132" t="s">
        <v>16</v>
      </c>
      <c r="D60" s="132" t="s">
        <v>84</v>
      </c>
      <c r="E60" s="132" t="s">
        <v>130</v>
      </c>
      <c r="F60" s="175">
        <v>45.4</v>
      </c>
      <c r="G60" s="123">
        <v>45.4</v>
      </c>
      <c r="Q60" s="132">
        <f t="shared" si="8"/>
        <v>0</v>
      </c>
      <c r="U60" s="134"/>
    </row>
    <row r="61" spans="1:21" ht="15">
      <c r="A61" s="131" t="s">
        <v>388</v>
      </c>
      <c r="B61" s="141">
        <v>788</v>
      </c>
      <c r="C61" s="132" t="s">
        <v>16</v>
      </c>
      <c r="D61" s="132" t="s">
        <v>27</v>
      </c>
      <c r="E61" s="132" t="s">
        <v>312</v>
      </c>
      <c r="F61" s="123">
        <v>485.25</v>
      </c>
      <c r="G61" s="123">
        <f>519.66-45.4-41.57</f>
        <v>432.69</v>
      </c>
      <c r="H61" s="123">
        <v>52.56</v>
      </c>
      <c r="Q61" s="132">
        <f t="shared" si="8"/>
        <v>0</v>
      </c>
      <c r="U61" s="134"/>
    </row>
    <row r="62" spans="1:21" ht="15">
      <c r="A62" s="131" t="s">
        <v>388</v>
      </c>
      <c r="B62" s="141">
        <v>789</v>
      </c>
      <c r="C62" s="132" t="s">
        <v>16</v>
      </c>
      <c r="D62" s="132" t="s">
        <v>61</v>
      </c>
      <c r="E62" s="132" t="s">
        <v>29</v>
      </c>
      <c r="F62" s="123">
        <v>875.16</v>
      </c>
      <c r="L62" s="123">
        <v>875.16</v>
      </c>
      <c r="Q62" s="132">
        <f t="shared" si="8"/>
        <v>0</v>
      </c>
      <c r="U62" s="134"/>
    </row>
    <row r="63" spans="1:21" ht="15">
      <c r="A63" s="131" t="s">
        <v>388</v>
      </c>
      <c r="B63" s="141">
        <v>790</v>
      </c>
      <c r="C63" s="132" t="s">
        <v>16</v>
      </c>
      <c r="D63" s="132" t="s">
        <v>31</v>
      </c>
      <c r="E63" s="132" t="s">
        <v>390</v>
      </c>
      <c r="F63" s="123">
        <v>240</v>
      </c>
      <c r="K63" s="123">
        <v>40</v>
      </c>
      <c r="P63" s="123">
        <v>200</v>
      </c>
      <c r="Q63" s="132">
        <f t="shared" si="8"/>
        <v>0</v>
      </c>
      <c r="U63" s="134"/>
    </row>
    <row r="64" ht="12.75">
      <c r="Q64" s="132">
        <f t="shared" si="8"/>
        <v>0</v>
      </c>
    </row>
    <row r="65" spans="1:21" s="135" customFormat="1" ht="15">
      <c r="A65" s="129" t="s">
        <v>24</v>
      </c>
      <c r="B65" s="148"/>
      <c r="F65" s="137">
        <f aca="true" t="shared" si="16" ref="F65:P65">SUM(F56:F64)</f>
        <v>2490.12</v>
      </c>
      <c r="G65" s="137">
        <f t="shared" si="16"/>
        <v>1004.4200000000001</v>
      </c>
      <c r="H65" s="137">
        <f t="shared" si="16"/>
        <v>114.34</v>
      </c>
      <c r="I65" s="137">
        <f t="shared" si="16"/>
        <v>0</v>
      </c>
      <c r="J65" s="137">
        <f t="shared" si="16"/>
        <v>0</v>
      </c>
      <c r="K65" s="137">
        <f t="shared" si="16"/>
        <v>82.7</v>
      </c>
      <c r="L65" s="137">
        <f t="shared" si="16"/>
        <v>875.16</v>
      </c>
      <c r="M65" s="137">
        <f t="shared" si="16"/>
        <v>0</v>
      </c>
      <c r="N65" s="137">
        <f t="shared" si="16"/>
        <v>0</v>
      </c>
      <c r="O65" s="137">
        <f t="shared" si="16"/>
        <v>13.5</v>
      </c>
      <c r="P65" s="137">
        <f t="shared" si="16"/>
        <v>400</v>
      </c>
      <c r="Q65" s="132">
        <f t="shared" si="8"/>
        <v>0</v>
      </c>
      <c r="U65" s="134"/>
    </row>
    <row r="66" spans="1:17" ht="12.75">
      <c r="A66" s="132"/>
      <c r="Q66" s="132">
        <f t="shared" si="8"/>
        <v>0</v>
      </c>
    </row>
    <row r="67" spans="1:17" ht="15">
      <c r="A67" s="159" t="s">
        <v>394</v>
      </c>
      <c r="B67" s="159" t="s">
        <v>183</v>
      </c>
      <c r="C67" s="132" t="s">
        <v>16</v>
      </c>
      <c r="D67" s="159" t="s">
        <v>285</v>
      </c>
      <c r="E67" s="159"/>
      <c r="F67" s="159">
        <v>93.54</v>
      </c>
      <c r="G67" s="123">
        <v>93.54</v>
      </c>
      <c r="Q67" s="132">
        <f t="shared" si="8"/>
        <v>0</v>
      </c>
    </row>
    <row r="68" spans="1:18" ht="15">
      <c r="A68" s="159" t="s">
        <v>395</v>
      </c>
      <c r="B68" s="159">
        <v>791</v>
      </c>
      <c r="C68" s="132" t="s">
        <v>16</v>
      </c>
      <c r="D68" s="159" t="s">
        <v>27</v>
      </c>
      <c r="E68" s="159"/>
      <c r="F68" s="159">
        <v>485.05</v>
      </c>
      <c r="G68" s="123">
        <f>519.66-41.57-45.6</f>
        <v>432.48999999999995</v>
      </c>
      <c r="H68" s="123">
        <v>52.56</v>
      </c>
      <c r="Q68" s="132">
        <f t="shared" si="8"/>
        <v>0</v>
      </c>
      <c r="R68" s="160"/>
    </row>
    <row r="69" spans="1:18" ht="15">
      <c r="A69" s="159" t="s">
        <v>395</v>
      </c>
      <c r="B69" s="159">
        <v>792</v>
      </c>
      <c r="C69" s="132" t="s">
        <v>16</v>
      </c>
      <c r="D69" s="159" t="s">
        <v>84</v>
      </c>
      <c r="E69" s="159"/>
      <c r="F69" s="159">
        <v>45.6</v>
      </c>
      <c r="G69" s="123">
        <v>45.6</v>
      </c>
      <c r="Q69" s="132">
        <f t="shared" si="8"/>
        <v>0</v>
      </c>
      <c r="R69" s="160"/>
    </row>
    <row r="70" spans="1:18" ht="15">
      <c r="A70" s="159" t="s">
        <v>395</v>
      </c>
      <c r="B70" s="159">
        <v>793</v>
      </c>
      <c r="C70" s="132" t="s">
        <v>16</v>
      </c>
      <c r="D70" s="159" t="s">
        <v>151</v>
      </c>
      <c r="E70" s="159"/>
      <c r="F70" s="159">
        <v>50</v>
      </c>
      <c r="J70" s="123">
        <v>50</v>
      </c>
      <c r="Q70" s="132">
        <f t="shared" si="8"/>
        <v>0</v>
      </c>
      <c r="R70" s="160"/>
    </row>
    <row r="71" spans="1:18" ht="15">
      <c r="A71" s="159" t="s">
        <v>395</v>
      </c>
      <c r="B71" s="159">
        <v>794</v>
      </c>
      <c r="C71" s="132" t="s">
        <v>16</v>
      </c>
      <c r="D71" s="159" t="s">
        <v>396</v>
      </c>
      <c r="E71" s="159"/>
      <c r="F71" s="159">
        <v>52</v>
      </c>
      <c r="I71" s="123">
        <v>52</v>
      </c>
      <c r="Q71" s="132">
        <f t="shared" si="8"/>
        <v>0</v>
      </c>
      <c r="R71" s="160"/>
    </row>
    <row r="72" spans="1:18" ht="19.5" customHeight="1">
      <c r="A72" s="159" t="s">
        <v>395</v>
      </c>
      <c r="B72" s="159">
        <v>795</v>
      </c>
      <c r="C72" s="132" t="s">
        <v>16</v>
      </c>
      <c r="D72" s="159" t="s">
        <v>397</v>
      </c>
      <c r="E72" s="159"/>
      <c r="F72" s="159">
        <v>40</v>
      </c>
      <c r="P72" s="123">
        <v>40</v>
      </c>
      <c r="Q72" s="132">
        <f t="shared" si="8"/>
        <v>0</v>
      </c>
      <c r="R72" s="160"/>
    </row>
    <row r="73" spans="17:18" ht="15">
      <c r="Q73" s="132">
        <f t="shared" si="8"/>
        <v>0</v>
      </c>
      <c r="R73" s="160"/>
    </row>
    <row r="74" spans="17:18" ht="15">
      <c r="Q74" s="132">
        <f t="shared" si="8"/>
        <v>0</v>
      </c>
      <c r="R74" s="160"/>
    </row>
    <row r="75" spans="1:21" s="157" customFormat="1" ht="15">
      <c r="A75" s="155" t="s">
        <v>38</v>
      </c>
      <c r="B75" s="156"/>
      <c r="E75" s="157" t="s">
        <v>22</v>
      </c>
      <c r="F75" s="158">
        <f aca="true" t="shared" si="17" ref="F75:P75">SUM(F66:F74)</f>
        <v>766.19</v>
      </c>
      <c r="G75" s="158">
        <f t="shared" si="17"/>
        <v>571.63</v>
      </c>
      <c r="H75" s="158">
        <f t="shared" si="17"/>
        <v>52.56</v>
      </c>
      <c r="I75" s="158">
        <f t="shared" si="17"/>
        <v>52</v>
      </c>
      <c r="J75" s="158">
        <f t="shared" si="17"/>
        <v>50</v>
      </c>
      <c r="K75" s="158">
        <f t="shared" si="17"/>
        <v>0</v>
      </c>
      <c r="L75" s="158">
        <f t="shared" si="17"/>
        <v>0</v>
      </c>
      <c r="M75" s="158">
        <f t="shared" si="17"/>
        <v>0</v>
      </c>
      <c r="N75" s="158">
        <f t="shared" si="17"/>
        <v>0</v>
      </c>
      <c r="O75" s="158">
        <f t="shared" si="17"/>
        <v>0</v>
      </c>
      <c r="P75" s="158">
        <f t="shared" si="17"/>
        <v>40</v>
      </c>
      <c r="Q75" s="132">
        <f t="shared" si="8"/>
        <v>0</v>
      </c>
      <c r="R75" s="42"/>
      <c r="U75" s="134"/>
    </row>
    <row r="76" spans="2:18" s="161" customFormat="1" ht="15">
      <c r="B76" s="162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32">
        <f t="shared" si="8"/>
        <v>0</v>
      </c>
      <c r="R76" s="42"/>
    </row>
    <row r="77" spans="1:17" s="15" customFormat="1" ht="12.75" customHeight="1">
      <c r="A77" s="164" t="s">
        <v>405</v>
      </c>
      <c r="B77" s="164" t="s">
        <v>68</v>
      </c>
      <c r="C77" s="15" t="s">
        <v>16</v>
      </c>
      <c r="D77" s="164" t="s">
        <v>285</v>
      </c>
      <c r="F77" s="164">
        <v>93.54</v>
      </c>
      <c r="G77" s="164">
        <v>93.54</v>
      </c>
      <c r="H77" s="16"/>
      <c r="I77" s="16"/>
      <c r="J77" s="16"/>
      <c r="K77" s="16"/>
      <c r="L77" s="16"/>
      <c r="M77" s="16"/>
      <c r="N77" s="16"/>
      <c r="O77" s="16"/>
      <c r="P77" s="16"/>
      <c r="Q77" s="132">
        <f t="shared" si="8"/>
        <v>0</v>
      </c>
    </row>
    <row r="78" spans="1:17" ht="15">
      <c r="A78" s="159" t="s">
        <v>405</v>
      </c>
      <c r="B78" s="159">
        <v>796</v>
      </c>
      <c r="C78" s="132" t="s">
        <v>16</v>
      </c>
      <c r="D78" s="159" t="s">
        <v>27</v>
      </c>
      <c r="F78" s="159">
        <v>504.27</v>
      </c>
      <c r="G78" s="159">
        <f>519.66-41.57-45.4</f>
        <v>432.69</v>
      </c>
      <c r="H78" s="123">
        <v>71.58</v>
      </c>
      <c r="Q78" s="132">
        <f t="shared" si="8"/>
        <v>0</v>
      </c>
    </row>
    <row r="79" spans="1:17" ht="19.5" customHeight="1">
      <c r="A79" s="159" t="s">
        <v>405</v>
      </c>
      <c r="B79" s="159">
        <v>797</v>
      </c>
      <c r="C79" s="132" t="s">
        <v>16</v>
      </c>
      <c r="D79" s="159" t="s">
        <v>84</v>
      </c>
      <c r="F79" s="159">
        <v>45.4</v>
      </c>
      <c r="G79" s="159">
        <v>45.4</v>
      </c>
      <c r="Q79" s="132">
        <f t="shared" si="8"/>
        <v>0</v>
      </c>
    </row>
    <row r="80" spans="1:17" ht="19.5" customHeight="1">
      <c r="A80" s="159" t="s">
        <v>405</v>
      </c>
      <c r="B80" s="159">
        <v>798</v>
      </c>
      <c r="C80" s="132" t="s">
        <v>16</v>
      </c>
      <c r="D80" s="159" t="s">
        <v>406</v>
      </c>
      <c r="F80" s="159">
        <v>113.4</v>
      </c>
      <c r="G80" s="159"/>
      <c r="P80" s="123">
        <v>113.4</v>
      </c>
      <c r="Q80" s="132">
        <f t="shared" si="8"/>
        <v>0</v>
      </c>
    </row>
    <row r="81" spans="1:17" ht="19.5" customHeight="1">
      <c r="A81" s="159" t="s">
        <v>405</v>
      </c>
      <c r="B81" s="159">
        <v>799</v>
      </c>
      <c r="C81" s="132" t="s">
        <v>16</v>
      </c>
      <c r="D81" s="159" t="s">
        <v>407</v>
      </c>
      <c r="E81" s="132" t="s">
        <v>408</v>
      </c>
      <c r="F81" s="159">
        <v>120</v>
      </c>
      <c r="G81" s="159"/>
      <c r="K81" s="123">
        <v>20</v>
      </c>
      <c r="M81" s="123">
        <v>100</v>
      </c>
      <c r="Q81" s="132">
        <f t="shared" si="8"/>
        <v>0</v>
      </c>
    </row>
    <row r="84" spans="1:21" s="167" customFormat="1" ht="15">
      <c r="A84" s="165" t="s">
        <v>182</v>
      </c>
      <c r="B84" s="166"/>
      <c r="E84" s="167" t="s">
        <v>22</v>
      </c>
      <c r="F84" s="168">
        <f aca="true" t="shared" si="18" ref="F84:Q84">SUM(F76:F82)</f>
        <v>876.6099999999999</v>
      </c>
      <c r="G84" s="168">
        <f t="shared" si="18"/>
        <v>571.63</v>
      </c>
      <c r="H84" s="168">
        <f t="shared" si="18"/>
        <v>71.58</v>
      </c>
      <c r="I84" s="168">
        <f t="shared" si="18"/>
        <v>0</v>
      </c>
      <c r="J84" s="168">
        <f t="shared" si="18"/>
        <v>0</v>
      </c>
      <c r="K84" s="168">
        <f t="shared" si="18"/>
        <v>20</v>
      </c>
      <c r="L84" s="168">
        <f t="shared" si="18"/>
        <v>0</v>
      </c>
      <c r="M84" s="168">
        <f t="shared" si="18"/>
        <v>100</v>
      </c>
      <c r="N84" s="168">
        <f t="shared" si="18"/>
        <v>0</v>
      </c>
      <c r="O84" s="168">
        <f t="shared" si="18"/>
        <v>0</v>
      </c>
      <c r="P84" s="168">
        <f t="shared" si="18"/>
        <v>113.4</v>
      </c>
      <c r="Q84" s="168">
        <f t="shared" si="18"/>
        <v>0</v>
      </c>
      <c r="U84" s="134"/>
    </row>
    <row r="85" spans="1:21" s="135" customFormat="1" ht="15">
      <c r="A85" s="129"/>
      <c r="B85" s="148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2">
        <f>SUM(G85:P85)-F85</f>
        <v>0</v>
      </c>
      <c r="U85" s="169"/>
    </row>
    <row r="86" spans="1:17" ht="15">
      <c r="A86" s="159" t="s">
        <v>409</v>
      </c>
      <c r="B86" s="159" t="s">
        <v>68</v>
      </c>
      <c r="C86" s="132" t="s">
        <v>16</v>
      </c>
      <c r="D86" s="159" t="s">
        <v>285</v>
      </c>
      <c r="F86" s="159">
        <v>93.54</v>
      </c>
      <c r="G86" s="159">
        <v>93.54</v>
      </c>
      <c r="Q86" s="132">
        <f>SUM(G86:P86)-F86</f>
        <v>0</v>
      </c>
    </row>
    <row r="88" spans="1:11" ht="15">
      <c r="A88" s="159"/>
      <c r="B88" s="159"/>
      <c r="D88" s="159"/>
      <c r="F88" s="159"/>
      <c r="K88" s="159"/>
    </row>
    <row r="89" spans="1:17" ht="15.75">
      <c r="A89" s="170" t="s">
        <v>409</v>
      </c>
      <c r="B89" s="159" t="s">
        <v>68</v>
      </c>
      <c r="C89" s="132" t="s">
        <v>16</v>
      </c>
      <c r="D89" s="159" t="s">
        <v>410</v>
      </c>
      <c r="F89" s="159">
        <v>14.4</v>
      </c>
      <c r="K89" s="159">
        <v>2.4</v>
      </c>
      <c r="N89" s="123">
        <v>12</v>
      </c>
      <c r="Q89" s="132">
        <f aca="true" t="shared" si="19" ref="Q89:Q106">SUM(G89:P89)-F89</f>
        <v>0</v>
      </c>
    </row>
    <row r="90" spans="1:17" ht="15">
      <c r="A90" s="159" t="s">
        <v>409</v>
      </c>
      <c r="B90" s="159">
        <v>800</v>
      </c>
      <c r="C90" s="132" t="s">
        <v>16</v>
      </c>
      <c r="D90" s="159" t="s">
        <v>27</v>
      </c>
      <c r="F90" s="159">
        <v>485.81</v>
      </c>
      <c r="G90" s="159">
        <f>519.66+53.12-45.4-41.57</f>
        <v>485.81</v>
      </c>
      <c r="Q90" s="132">
        <f t="shared" si="19"/>
        <v>0</v>
      </c>
    </row>
    <row r="91" ht="19.5" customHeight="1">
      <c r="Q91" s="132">
        <f t="shared" si="19"/>
        <v>0</v>
      </c>
    </row>
    <row r="92" ht="19.5" customHeight="1">
      <c r="Q92" s="132">
        <f t="shared" si="19"/>
        <v>0</v>
      </c>
    </row>
    <row r="93" spans="1:17" ht="12.75">
      <c r="A93" s="129" t="s">
        <v>339</v>
      </c>
      <c r="B93" s="148"/>
      <c r="C93" s="135"/>
      <c r="D93" s="135"/>
      <c r="E93" s="135" t="s">
        <v>22</v>
      </c>
      <c r="F93" s="137">
        <f aca="true" t="shared" si="20" ref="F93:P93">SUM(F86:F92)</f>
        <v>593.75</v>
      </c>
      <c r="G93" s="137">
        <f t="shared" si="20"/>
        <v>579.35</v>
      </c>
      <c r="H93" s="137">
        <f t="shared" si="20"/>
        <v>0</v>
      </c>
      <c r="I93" s="137">
        <f t="shared" si="20"/>
        <v>0</v>
      </c>
      <c r="J93" s="137">
        <f t="shared" si="20"/>
        <v>0</v>
      </c>
      <c r="K93" s="137">
        <f t="shared" si="20"/>
        <v>2.4</v>
      </c>
      <c r="L93" s="137">
        <f t="shared" si="20"/>
        <v>0</v>
      </c>
      <c r="M93" s="137">
        <f t="shared" si="20"/>
        <v>0</v>
      </c>
      <c r="N93" s="137">
        <f t="shared" si="20"/>
        <v>12</v>
      </c>
      <c r="O93" s="137">
        <f t="shared" si="20"/>
        <v>0</v>
      </c>
      <c r="P93" s="137">
        <f t="shared" si="20"/>
        <v>0</v>
      </c>
      <c r="Q93" s="132">
        <f t="shared" si="19"/>
        <v>0</v>
      </c>
    </row>
    <row r="94" spans="1:18" ht="12.75">
      <c r="A94" s="129"/>
      <c r="B94" s="148"/>
      <c r="C94" s="135"/>
      <c r="D94" s="135"/>
      <c r="E94" s="135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2">
        <f t="shared" si="19"/>
        <v>0</v>
      </c>
      <c r="R94" s="135"/>
    </row>
    <row r="95" spans="1:17" s="66" customFormat="1" ht="15">
      <c r="A95" s="159" t="s">
        <v>418</v>
      </c>
      <c r="B95" s="159" t="s">
        <v>68</v>
      </c>
      <c r="C95" s="66" t="s">
        <v>16</v>
      </c>
      <c r="D95" s="171" t="s">
        <v>419</v>
      </c>
      <c r="F95" s="159">
        <v>16.2</v>
      </c>
      <c r="G95" s="172"/>
      <c r="H95" s="172"/>
      <c r="I95" s="172"/>
      <c r="J95" s="172"/>
      <c r="K95" s="172"/>
      <c r="L95" s="159">
        <v>2.7</v>
      </c>
      <c r="M95" s="172"/>
      <c r="N95" s="172"/>
      <c r="O95" s="172">
        <v>13.5</v>
      </c>
      <c r="P95" s="173">
        <f>SUM(G95:O95)-F95</f>
        <v>0</v>
      </c>
      <c r="Q95" s="132">
        <f t="shared" si="19"/>
        <v>0</v>
      </c>
    </row>
    <row r="96" spans="1:17" ht="15">
      <c r="A96" s="159" t="s">
        <v>420</v>
      </c>
      <c r="B96" s="159" t="s">
        <v>68</v>
      </c>
      <c r="C96" s="132" t="s">
        <v>16</v>
      </c>
      <c r="D96" s="159" t="s">
        <v>285</v>
      </c>
      <c r="F96" s="159">
        <v>84.49</v>
      </c>
      <c r="G96" s="123">
        <v>84.49</v>
      </c>
      <c r="Q96" s="132">
        <f t="shared" si="19"/>
        <v>0</v>
      </c>
    </row>
    <row r="97" spans="1:17" ht="15">
      <c r="A97" s="159" t="s">
        <v>420</v>
      </c>
      <c r="B97" s="159">
        <v>801</v>
      </c>
      <c r="C97" s="132" t="s">
        <v>16</v>
      </c>
      <c r="D97" s="159" t="s">
        <v>27</v>
      </c>
      <c r="F97" s="159">
        <v>510.81</v>
      </c>
      <c r="G97" s="123">
        <f>469.37-37.55-35.4+45.4</f>
        <v>441.82</v>
      </c>
      <c r="H97" s="123">
        <f>68.99</f>
        <v>68.99</v>
      </c>
      <c r="Q97" s="132">
        <f t="shared" si="19"/>
        <v>0</v>
      </c>
    </row>
    <row r="98" spans="1:17" ht="15">
      <c r="A98" s="159" t="s">
        <v>420</v>
      </c>
      <c r="B98" s="159">
        <v>803</v>
      </c>
      <c r="C98" s="132" t="s">
        <v>16</v>
      </c>
      <c r="D98" s="159" t="s">
        <v>421</v>
      </c>
      <c r="F98" s="159">
        <v>35.4</v>
      </c>
      <c r="G98" s="123">
        <v>35.4</v>
      </c>
      <c r="Q98" s="132">
        <f t="shared" si="19"/>
        <v>0</v>
      </c>
    </row>
    <row r="99" spans="1:17" ht="30">
      <c r="A99" s="159" t="s">
        <v>420</v>
      </c>
      <c r="B99" s="159">
        <v>802</v>
      </c>
      <c r="C99" s="132" t="s">
        <v>16</v>
      </c>
      <c r="D99" s="159" t="s">
        <v>422</v>
      </c>
      <c r="F99" s="159">
        <v>120</v>
      </c>
      <c r="K99" s="123">
        <v>20</v>
      </c>
      <c r="P99" s="123">
        <v>100</v>
      </c>
      <c r="Q99" s="132">
        <f t="shared" si="19"/>
        <v>0</v>
      </c>
    </row>
    <row r="100" spans="1:17" ht="15">
      <c r="A100" s="159" t="s">
        <v>420</v>
      </c>
      <c r="B100" s="159">
        <v>804</v>
      </c>
      <c r="C100" s="132" t="s">
        <v>16</v>
      </c>
      <c r="D100" s="159" t="s">
        <v>343</v>
      </c>
      <c r="F100" s="159">
        <v>66</v>
      </c>
      <c r="I100" s="123">
        <v>55</v>
      </c>
      <c r="K100" s="123">
        <v>11</v>
      </c>
      <c r="Q100" s="132">
        <f t="shared" si="19"/>
        <v>0</v>
      </c>
    </row>
    <row r="101" spans="1:17" ht="30">
      <c r="A101" s="159" t="s">
        <v>420</v>
      </c>
      <c r="B101" s="159">
        <v>805</v>
      </c>
      <c r="C101" s="132" t="s">
        <v>16</v>
      </c>
      <c r="D101" s="159" t="s">
        <v>423</v>
      </c>
      <c r="F101" s="159">
        <v>1942.72</v>
      </c>
      <c r="N101" s="123">
        <v>1942.72</v>
      </c>
      <c r="Q101" s="132">
        <f t="shared" si="19"/>
        <v>0</v>
      </c>
    </row>
    <row r="102" ht="12.75">
      <c r="Q102" s="132">
        <f t="shared" si="19"/>
        <v>0</v>
      </c>
    </row>
    <row r="103" ht="12.75">
      <c r="Q103" s="132">
        <f t="shared" si="19"/>
        <v>0</v>
      </c>
    </row>
    <row r="104" ht="12.75">
      <c r="Q104" s="132">
        <f t="shared" si="19"/>
        <v>0</v>
      </c>
    </row>
    <row r="105" spans="1:17" ht="12.75">
      <c r="A105" s="129" t="s">
        <v>212</v>
      </c>
      <c r="B105" s="148"/>
      <c r="C105" s="135"/>
      <c r="D105" s="135"/>
      <c r="E105" s="135" t="s">
        <v>22</v>
      </c>
      <c r="F105" s="137">
        <f aca="true" t="shared" si="21" ref="F105:P105">SUM(F95:F104)</f>
        <v>2775.62</v>
      </c>
      <c r="G105" s="137">
        <f t="shared" si="21"/>
        <v>561.7099999999999</v>
      </c>
      <c r="H105" s="137">
        <f t="shared" si="21"/>
        <v>68.99</v>
      </c>
      <c r="I105" s="137">
        <f t="shared" si="21"/>
        <v>55</v>
      </c>
      <c r="J105" s="137">
        <f t="shared" si="21"/>
        <v>0</v>
      </c>
      <c r="K105" s="137">
        <f t="shared" si="21"/>
        <v>31</v>
      </c>
      <c r="L105" s="137">
        <f t="shared" si="21"/>
        <v>2.7</v>
      </c>
      <c r="M105" s="137">
        <f t="shared" si="21"/>
        <v>0</v>
      </c>
      <c r="N105" s="137">
        <f t="shared" si="21"/>
        <v>1942.72</v>
      </c>
      <c r="O105" s="137">
        <f t="shared" si="21"/>
        <v>13.5</v>
      </c>
      <c r="P105" s="137">
        <f t="shared" si="21"/>
        <v>100</v>
      </c>
      <c r="Q105" s="132">
        <f t="shared" si="19"/>
        <v>0</v>
      </c>
    </row>
    <row r="106" ht="12.75">
      <c r="Q106" s="132">
        <f t="shared" si="19"/>
        <v>0</v>
      </c>
    </row>
    <row r="107" spans="1:19" ht="15">
      <c r="A107" s="176" t="s">
        <v>451</v>
      </c>
      <c r="B107" s="176" t="s">
        <v>68</v>
      </c>
      <c r="D107" s="176" t="s">
        <v>65</v>
      </c>
      <c r="F107" s="176">
        <v>5.4</v>
      </c>
      <c r="G107" s="132"/>
      <c r="H107" s="132"/>
      <c r="K107" s="176">
        <v>0.9</v>
      </c>
      <c r="O107" s="178">
        <v>4.5</v>
      </c>
      <c r="Q107" s="127">
        <f>F107-SUM(G107:P107)</f>
        <v>0</v>
      </c>
      <c r="S107" s="134"/>
    </row>
    <row r="108" ht="12.75">
      <c r="Q108" s="127">
        <f>F108-SUM(G108:P108)</f>
        <v>0</v>
      </c>
    </row>
    <row r="109" ht="12.75">
      <c r="Q109" s="127">
        <f>F109-SUM(G109:P109)</f>
        <v>0</v>
      </c>
    </row>
    <row r="110" spans="1:17" ht="25.5">
      <c r="A110" s="143" t="s">
        <v>452</v>
      </c>
      <c r="Q110" s="127">
        <f>F110-SUM(G110:P110)</f>
        <v>0</v>
      </c>
    </row>
    <row r="111" spans="1:17" s="161" customFormat="1" ht="13.5" thickBot="1">
      <c r="A111" s="179"/>
      <c r="B111" s="162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1">
        <f aca="true" t="shared" si="22" ref="Q111:Q117">SUM(G111:P111)-F111</f>
        <v>0</v>
      </c>
    </row>
    <row r="112" spans="1:17" s="186" customFormat="1" ht="13.5" thickBot="1">
      <c r="A112" s="184" t="s">
        <v>32</v>
      </c>
      <c r="B112" s="185"/>
      <c r="F112" s="187">
        <f aca="true" t="shared" si="23" ref="F112:P112">SUM(F106:F110)</f>
        <v>5.4</v>
      </c>
      <c r="G112" s="187">
        <f t="shared" si="23"/>
        <v>0</v>
      </c>
      <c r="H112" s="187">
        <f t="shared" si="23"/>
        <v>0</v>
      </c>
      <c r="I112" s="187">
        <f t="shared" si="23"/>
        <v>0</v>
      </c>
      <c r="J112" s="187">
        <f t="shared" si="23"/>
        <v>0</v>
      </c>
      <c r="K112" s="187">
        <f t="shared" si="23"/>
        <v>0.9</v>
      </c>
      <c r="L112" s="187">
        <f t="shared" si="23"/>
        <v>0</v>
      </c>
      <c r="M112" s="187">
        <f t="shared" si="23"/>
        <v>0</v>
      </c>
      <c r="N112" s="187">
        <f t="shared" si="23"/>
        <v>0</v>
      </c>
      <c r="O112" s="187">
        <f t="shared" si="23"/>
        <v>4.5</v>
      </c>
      <c r="P112" s="187">
        <f t="shared" si="23"/>
        <v>0</v>
      </c>
      <c r="Q112" s="186">
        <f t="shared" si="22"/>
        <v>0</v>
      </c>
    </row>
    <row r="113" spans="1:17" s="182" customFormat="1" ht="12.75">
      <c r="A113" s="180"/>
      <c r="B113" s="181"/>
      <c r="F113" s="183"/>
      <c r="G113" s="183"/>
      <c r="H113" s="183"/>
      <c r="I113" s="183"/>
      <c r="J113" s="158"/>
      <c r="K113" s="183"/>
      <c r="L113" s="183"/>
      <c r="M113" s="183"/>
      <c r="N113" s="183"/>
      <c r="O113" s="183"/>
      <c r="P113" s="183"/>
      <c r="Q113" s="182">
        <f t="shared" si="22"/>
        <v>0</v>
      </c>
    </row>
    <row r="114" ht="12.75">
      <c r="Q114" s="132">
        <f t="shared" si="22"/>
        <v>0</v>
      </c>
    </row>
    <row r="115" ht="12.75">
      <c r="Q115" s="132">
        <f t="shared" si="22"/>
        <v>0</v>
      </c>
    </row>
    <row r="116" ht="12.75">
      <c r="Q116" s="132">
        <f t="shared" si="22"/>
        <v>0</v>
      </c>
    </row>
    <row r="117" spans="1:17" s="161" customFormat="1" ht="13.5" thickBot="1">
      <c r="A117" s="179"/>
      <c r="B117" s="162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1">
        <f t="shared" si="22"/>
        <v>0</v>
      </c>
    </row>
    <row r="118" spans="1:17" s="186" customFormat="1" ht="13.5" thickBot="1">
      <c r="A118" s="188"/>
      <c r="B118" s="185"/>
      <c r="F118" s="189">
        <f aca="true" t="shared" si="24" ref="F118:Q118">SUM(F4:F112)/2</f>
        <v>11737.130000000006</v>
      </c>
      <c r="G118" s="189">
        <f t="shared" si="24"/>
        <v>6827.819999999998</v>
      </c>
      <c r="H118" s="189">
        <f t="shared" si="24"/>
        <v>695.9499999999999</v>
      </c>
      <c r="I118" s="189">
        <f t="shared" si="24"/>
        <v>309.8</v>
      </c>
      <c r="J118" s="189">
        <f t="shared" si="24"/>
        <v>50</v>
      </c>
      <c r="K118" s="189">
        <f t="shared" si="24"/>
        <v>147.32</v>
      </c>
      <c r="L118" s="189">
        <f t="shared" si="24"/>
        <v>877.86</v>
      </c>
      <c r="M118" s="189">
        <f t="shared" si="24"/>
        <v>100</v>
      </c>
      <c r="N118" s="189">
        <f t="shared" si="24"/>
        <v>1966.88</v>
      </c>
      <c r="O118" s="189">
        <f t="shared" si="24"/>
        <v>83.1</v>
      </c>
      <c r="P118" s="189">
        <f t="shared" si="24"/>
        <v>678.4000000000001</v>
      </c>
      <c r="Q118" s="189">
        <f t="shared" si="24"/>
        <v>0</v>
      </c>
    </row>
    <row r="119" spans="1:17" s="182" customFormat="1" ht="12.75">
      <c r="A119" s="180"/>
      <c r="B119" s="181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2">
        <f>SUM(G119:P119)-F119</f>
        <v>0</v>
      </c>
    </row>
    <row r="120" ht="12.75">
      <c r="Q120" s="132">
        <f>SUM(G120:P120)-F120</f>
        <v>0</v>
      </c>
    </row>
    <row r="121" spans="6:14" ht="12.75">
      <c r="F121" s="123" t="s">
        <v>16</v>
      </c>
      <c r="G121" s="123" t="s">
        <v>16</v>
      </c>
      <c r="H121" s="123" t="s">
        <v>16</v>
      </c>
      <c r="I121" s="123" t="s">
        <v>16</v>
      </c>
      <c r="J121" s="123" t="s">
        <v>16</v>
      </c>
      <c r="K121" s="123" t="s">
        <v>16</v>
      </c>
      <c r="L121" s="123" t="s">
        <v>16</v>
      </c>
      <c r="M121" s="123" t="s">
        <v>16</v>
      </c>
      <c r="N121" s="123" t="s">
        <v>16</v>
      </c>
    </row>
    <row r="124" ht="12.75">
      <c r="F124" s="123">
        <f>SUM(G118:P118)</f>
        <v>11737.129999999997</v>
      </c>
    </row>
    <row r="131" ht="12.75">
      <c r="K131" s="123">
        <f>8*52</f>
        <v>416</v>
      </c>
    </row>
    <row r="132" spans="8:11" ht="12.75">
      <c r="H132" s="123">
        <f>478*12</f>
        <v>5736</v>
      </c>
      <c r="J132" s="123">
        <f>K132*1.1</f>
        <v>6827.392000000001</v>
      </c>
      <c r="K132" s="123">
        <f>14.92*8*52</f>
        <v>6206.72</v>
      </c>
    </row>
    <row r="133" ht="12.75">
      <c r="M133" s="123">
        <f>28785/14.92/52</f>
        <v>37.10172200453702</v>
      </c>
    </row>
    <row r="134" ht="12.75">
      <c r="N134" s="123">
        <f>416/1929*28785</f>
        <v>6207.651632970452</v>
      </c>
    </row>
    <row r="135" spans="11:16" ht="12.75">
      <c r="K135" s="123" t="e">
        <f>28785/L13</f>
        <v>#DIV/0!</v>
      </c>
      <c r="N135" s="123">
        <f>37.1*52</f>
        <v>1929.2</v>
      </c>
      <c r="P135" s="123">
        <f>14.92*8*52</f>
        <v>6206.72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pane xSplit="18" ySplit="2" topLeftCell="S42" activePane="bottomRight" state="frozen"/>
      <selection pane="topLeft" activeCell="A1" sqref="A1"/>
      <selection pane="topRight" activeCell="S1" sqref="S1"/>
      <selection pane="bottomLeft" activeCell="A3" sqref="A3"/>
      <selection pane="bottomRight" activeCell="H81" sqref="H81"/>
    </sheetView>
  </sheetViews>
  <sheetFormatPr defaultColWidth="9.140625" defaultRowHeight="12.75"/>
  <cols>
    <col min="1" max="1" width="11.421875" style="0" customWidth="1"/>
    <col min="2" max="2" width="26.421875" style="0" bestFit="1" customWidth="1"/>
    <col min="5" max="5" width="20.8515625" style="0" bestFit="1" customWidth="1"/>
    <col min="6" max="6" width="10.140625" style="24" bestFit="1" customWidth="1"/>
    <col min="15" max="15" width="9.8515625" style="0" bestFit="1" customWidth="1"/>
    <col min="17" max="17" width="11.421875" style="0" customWidth="1"/>
    <col min="18" max="18" width="9.7109375" style="0" bestFit="1" customWidth="1"/>
  </cols>
  <sheetData>
    <row r="1" spans="1:17" ht="12.75">
      <c r="A1" t="s">
        <v>0</v>
      </c>
      <c r="B1" t="s">
        <v>5</v>
      </c>
      <c r="C1" t="s">
        <v>28</v>
      </c>
      <c r="D1" t="s">
        <v>30</v>
      </c>
      <c r="E1" t="s">
        <v>6</v>
      </c>
      <c r="F1" s="24" t="s">
        <v>18</v>
      </c>
      <c r="G1" t="s">
        <v>3</v>
      </c>
      <c r="H1" s="1" t="s">
        <v>77</v>
      </c>
      <c r="I1" s="1" t="s">
        <v>77</v>
      </c>
      <c r="J1" t="s">
        <v>19</v>
      </c>
      <c r="K1" t="s">
        <v>1</v>
      </c>
      <c r="L1" t="s">
        <v>4</v>
      </c>
      <c r="M1" t="s">
        <v>17</v>
      </c>
      <c r="N1" t="s">
        <v>11</v>
      </c>
      <c r="O1" t="s">
        <v>242</v>
      </c>
      <c r="P1" t="s">
        <v>2</v>
      </c>
      <c r="Q1" s="1" t="s">
        <v>76</v>
      </c>
    </row>
    <row r="2" spans="7:18" ht="12.75">
      <c r="G2" s="1"/>
      <c r="H2" s="1" t="s">
        <v>78</v>
      </c>
      <c r="I2" s="1" t="s">
        <v>241</v>
      </c>
      <c r="R2" s="34">
        <f aca="true" t="shared" si="0" ref="R2:R57">F2-SUM(G2:Q2)</f>
        <v>0</v>
      </c>
    </row>
    <row r="3" spans="1:18" ht="12.75">
      <c r="A3" s="23" t="s">
        <v>360</v>
      </c>
      <c r="B3" s="35" t="s">
        <v>363</v>
      </c>
      <c r="C3" s="23"/>
      <c r="D3" s="23" t="s">
        <v>16</v>
      </c>
      <c r="E3" s="23" t="s">
        <v>361</v>
      </c>
      <c r="F3" s="27">
        <v>50</v>
      </c>
      <c r="G3" s="23"/>
      <c r="H3" s="23"/>
      <c r="I3" s="23"/>
      <c r="J3" s="28"/>
      <c r="K3" s="23"/>
      <c r="L3" s="23"/>
      <c r="M3" s="23"/>
      <c r="N3" s="23"/>
      <c r="O3" s="23"/>
      <c r="P3" s="23">
        <v>50</v>
      </c>
      <c r="Q3" s="28"/>
      <c r="R3" s="34">
        <f t="shared" si="0"/>
        <v>0</v>
      </c>
    </row>
    <row r="4" spans="1:19" ht="12.75">
      <c r="A4" s="23" t="s">
        <v>360</v>
      </c>
      <c r="B4" s="23" t="s">
        <v>362</v>
      </c>
      <c r="C4" s="23"/>
      <c r="D4" s="23" t="s">
        <v>16</v>
      </c>
      <c r="E4" s="23" t="s">
        <v>11</v>
      </c>
      <c r="F4" s="27">
        <v>2638.33</v>
      </c>
      <c r="G4" s="28"/>
      <c r="H4" s="28"/>
      <c r="I4" s="28"/>
      <c r="J4" s="23"/>
      <c r="K4" s="23"/>
      <c r="L4" s="23"/>
      <c r="M4" s="23"/>
      <c r="N4" s="23">
        <v>2638.33</v>
      </c>
      <c r="O4" s="23"/>
      <c r="P4" s="23"/>
      <c r="Q4" s="28"/>
      <c r="R4" s="34">
        <f t="shared" si="0"/>
        <v>0</v>
      </c>
      <c r="S4" s="23"/>
    </row>
    <row r="5" spans="1:19" ht="12.75">
      <c r="A5" s="23"/>
      <c r="B5" s="23"/>
      <c r="C5" s="23"/>
      <c r="D5" s="23"/>
      <c r="F5" s="27"/>
      <c r="G5" s="28"/>
      <c r="H5" s="28"/>
      <c r="I5" s="28"/>
      <c r="J5" s="23"/>
      <c r="K5" s="23"/>
      <c r="L5" s="23"/>
      <c r="M5" s="23"/>
      <c r="N5" s="23"/>
      <c r="O5" s="23"/>
      <c r="P5" s="23"/>
      <c r="Q5" s="28"/>
      <c r="R5" s="34">
        <f t="shared" si="0"/>
        <v>0</v>
      </c>
      <c r="S5" s="23"/>
    </row>
    <row r="6" spans="1:19" ht="12.75">
      <c r="A6" s="23"/>
      <c r="B6" s="23"/>
      <c r="C6" s="23"/>
      <c r="D6" s="23"/>
      <c r="F6" s="27"/>
      <c r="G6" s="28"/>
      <c r="H6" s="28"/>
      <c r="I6" s="28"/>
      <c r="J6" s="23"/>
      <c r="K6" s="23"/>
      <c r="L6" s="23"/>
      <c r="M6" s="23"/>
      <c r="N6" s="23"/>
      <c r="O6" s="23"/>
      <c r="P6" s="23"/>
      <c r="Q6" s="28"/>
      <c r="R6" s="34">
        <f t="shared" si="0"/>
        <v>0</v>
      </c>
      <c r="S6" s="23"/>
    </row>
    <row r="7" spans="1:19" ht="12.75">
      <c r="A7" s="32" t="s">
        <v>300</v>
      </c>
      <c r="B7" s="33"/>
      <c r="C7" s="33"/>
      <c r="D7" s="33"/>
      <c r="E7" s="33"/>
      <c r="F7" s="34">
        <f>SUM(F3:F5)</f>
        <v>2688.33</v>
      </c>
      <c r="G7" s="34">
        <f aca="true" t="shared" si="1" ref="G7:Q7">SUM(G3:G5)</f>
        <v>0</v>
      </c>
      <c r="H7" s="34">
        <f t="shared" si="1"/>
        <v>0</v>
      </c>
      <c r="I7" s="34">
        <f>SUM(I3:I5)</f>
        <v>0</v>
      </c>
      <c r="J7" s="34">
        <f t="shared" si="1"/>
        <v>0</v>
      </c>
      <c r="K7" s="34">
        <f t="shared" si="1"/>
        <v>0</v>
      </c>
      <c r="L7" s="34">
        <f t="shared" si="1"/>
        <v>0</v>
      </c>
      <c r="M7" s="34">
        <f t="shared" si="1"/>
        <v>0</v>
      </c>
      <c r="N7" s="34">
        <f t="shared" si="1"/>
        <v>2638.33</v>
      </c>
      <c r="O7" s="34">
        <f t="shared" si="1"/>
        <v>0</v>
      </c>
      <c r="P7" s="34">
        <f>SUM(P3:P5)</f>
        <v>50</v>
      </c>
      <c r="Q7" s="34">
        <f t="shared" si="1"/>
        <v>0</v>
      </c>
      <c r="R7" s="34">
        <f t="shared" si="0"/>
        <v>0</v>
      </c>
      <c r="S7" s="23"/>
    </row>
    <row r="8" spans="1:19" ht="12.75">
      <c r="A8" s="36"/>
      <c r="B8" s="35"/>
      <c r="C8" s="35"/>
      <c r="D8" s="35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4">
        <f t="shared" si="0"/>
        <v>0</v>
      </c>
      <c r="S8" s="23"/>
    </row>
    <row r="9" spans="1:19" ht="12.75">
      <c r="A9" s="44" t="s">
        <v>368</v>
      </c>
      <c r="B9" s="1" t="s">
        <v>322</v>
      </c>
      <c r="C9" s="1"/>
      <c r="F9" s="24">
        <v>2050</v>
      </c>
      <c r="G9">
        <v>1875</v>
      </c>
      <c r="H9">
        <v>175</v>
      </c>
      <c r="R9" s="34">
        <f t="shared" si="0"/>
        <v>0</v>
      </c>
      <c r="S9" s="23"/>
    </row>
    <row r="10" spans="1:19" ht="12.75">
      <c r="A10" s="23"/>
      <c r="B10" s="23"/>
      <c r="C10" s="23"/>
      <c r="D10" s="23"/>
      <c r="F10" s="27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8"/>
      <c r="R10" s="34">
        <f t="shared" si="0"/>
        <v>0</v>
      </c>
      <c r="S10" s="23"/>
    </row>
    <row r="11" spans="1:22" s="22" customFormat="1" ht="15">
      <c r="A11" s="23"/>
      <c r="B11" s="23"/>
      <c r="C11" s="23"/>
      <c r="D11" s="23"/>
      <c r="E11" s="23"/>
      <c r="F11" s="27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"/>
      <c r="R11" s="34">
        <f t="shared" si="0"/>
        <v>0</v>
      </c>
      <c r="S11" s="23"/>
      <c r="V11" s="42"/>
    </row>
    <row r="12" spans="1:22" ht="15">
      <c r="A12" s="32" t="s">
        <v>367</v>
      </c>
      <c r="B12" s="33"/>
      <c r="C12" s="33"/>
      <c r="D12" s="33"/>
      <c r="E12" s="33"/>
      <c r="F12" s="34">
        <f aca="true" t="shared" si="2" ref="F12:Q12">SUM(F8:F11)</f>
        <v>2050</v>
      </c>
      <c r="G12" s="34">
        <f t="shared" si="2"/>
        <v>1875</v>
      </c>
      <c r="H12" s="34">
        <f t="shared" si="2"/>
        <v>175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0"/>
        <v>0</v>
      </c>
      <c r="S12" s="34"/>
      <c r="V12" s="42"/>
    </row>
    <row r="13" spans="1:22" s="22" customFormat="1" ht="15">
      <c r="A13" s="23" t="s">
        <v>375</v>
      </c>
      <c r="B13" s="23" t="s">
        <v>376</v>
      </c>
      <c r="C13" s="23"/>
      <c r="D13" s="23"/>
      <c r="E13" s="23"/>
      <c r="F13" s="27">
        <v>327.59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8">
        <v>327.59</v>
      </c>
      <c r="R13" s="34">
        <f t="shared" si="0"/>
        <v>0</v>
      </c>
      <c r="S13" s="23"/>
      <c r="V13" s="42"/>
    </row>
    <row r="14" spans="1:19" s="26" customFormat="1" ht="12.75">
      <c r="A14" s="44"/>
      <c r="B14" s="23"/>
      <c r="C14" s="23"/>
      <c r="D14" s="23"/>
      <c r="E14" s="1"/>
      <c r="F14" s="27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8"/>
      <c r="R14" s="34">
        <f t="shared" si="0"/>
        <v>0</v>
      </c>
      <c r="S14" s="23"/>
    </row>
    <row r="15" spans="1:19" s="26" customFormat="1" ht="12.75">
      <c r="A15" s="23"/>
      <c r="B15" s="23"/>
      <c r="C15" s="23"/>
      <c r="D15" s="23"/>
      <c r="E15" s="23"/>
      <c r="F15" s="27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8"/>
      <c r="R15" s="34">
        <f t="shared" si="0"/>
        <v>0</v>
      </c>
      <c r="S15" s="23"/>
    </row>
    <row r="16" spans="1:19" s="26" customFormat="1" ht="12.75">
      <c r="A16" s="23"/>
      <c r="B16" s="23"/>
      <c r="C16" s="23"/>
      <c r="D16" s="23"/>
      <c r="E16" s="23"/>
      <c r="F16" s="27"/>
      <c r="G16" s="23"/>
      <c r="H16" s="23"/>
      <c r="I16" s="23"/>
      <c r="J16" s="23"/>
      <c r="K16" s="23"/>
      <c r="L16" s="23"/>
      <c r="M16" s="23"/>
      <c r="N16" s="23"/>
      <c r="O16" s="28"/>
      <c r="P16" s="28"/>
      <c r="Q16" s="28"/>
      <c r="R16" s="34">
        <f t="shared" si="0"/>
        <v>0</v>
      </c>
      <c r="S16" s="23"/>
    </row>
    <row r="17" spans="1:19" s="26" customFormat="1" ht="12.75">
      <c r="A17" s="23"/>
      <c r="B17" s="23"/>
      <c r="C17" s="23"/>
      <c r="D17" s="23"/>
      <c r="E17" s="23"/>
      <c r="F17" s="27"/>
      <c r="G17" s="23"/>
      <c r="H17" s="23"/>
      <c r="I17" s="23"/>
      <c r="J17" s="23"/>
      <c r="K17" s="23"/>
      <c r="L17" s="23"/>
      <c r="M17" s="23"/>
      <c r="N17" s="23"/>
      <c r="O17" s="28"/>
      <c r="P17" s="28"/>
      <c r="Q17" s="28"/>
      <c r="R17" s="34">
        <f t="shared" si="0"/>
        <v>0</v>
      </c>
      <c r="S17" s="23"/>
    </row>
    <row r="18" spans="1:19" s="26" customFormat="1" ht="12.75">
      <c r="A18" s="32" t="s">
        <v>302</v>
      </c>
      <c r="B18" s="33"/>
      <c r="C18" s="33"/>
      <c r="D18" s="33"/>
      <c r="E18" s="33"/>
      <c r="F18" s="34">
        <f>SUM(F13:F17)</f>
        <v>327.59</v>
      </c>
      <c r="G18" s="34">
        <f>SUM(G14:G17)</f>
        <v>0</v>
      </c>
      <c r="H18" s="34"/>
      <c r="I18" s="34"/>
      <c r="J18" s="34">
        <f aca="true" t="shared" si="3" ref="J18:O18">SUM(J14:J17)</f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>SUM(P14:P17)</f>
        <v>0</v>
      </c>
      <c r="Q18" s="34">
        <f>SUM(Q13:Q17)</f>
        <v>327.59</v>
      </c>
      <c r="R18" s="34">
        <f t="shared" si="0"/>
        <v>0</v>
      </c>
      <c r="S18" s="23"/>
    </row>
    <row r="19" spans="1:19" s="26" customFormat="1" ht="12.75">
      <c r="A19" s="36"/>
      <c r="B19" s="35"/>
      <c r="C19" s="35"/>
      <c r="D19" s="35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4">
        <f t="shared" si="0"/>
        <v>0</v>
      </c>
      <c r="S19" s="23"/>
    </row>
    <row r="20" spans="1:19" s="26" customFormat="1" ht="12.75">
      <c r="A20" s="35" t="s">
        <v>379</v>
      </c>
      <c r="B20" s="35" t="s">
        <v>380</v>
      </c>
      <c r="C20" s="35"/>
      <c r="D20" s="35" t="s">
        <v>16</v>
      </c>
      <c r="E20" s="35" t="s">
        <v>161</v>
      </c>
      <c r="F20" s="37">
        <v>6.59</v>
      </c>
      <c r="G20" s="37"/>
      <c r="H20" s="37"/>
      <c r="I20" s="37"/>
      <c r="J20" s="37">
        <v>6.59</v>
      </c>
      <c r="K20" s="37"/>
      <c r="L20" s="37"/>
      <c r="M20" s="37"/>
      <c r="N20" s="37"/>
      <c r="O20" s="37"/>
      <c r="P20" s="37"/>
      <c r="Q20" s="37"/>
      <c r="R20" s="34">
        <f t="shared" si="0"/>
        <v>0</v>
      </c>
      <c r="S20" s="23"/>
    </row>
    <row r="21" spans="1:19" s="26" customFormat="1" ht="12.75">
      <c r="A21" s="38"/>
      <c r="B21" s="23"/>
      <c r="C21" s="23"/>
      <c r="D21" s="23"/>
      <c r="E21" s="23"/>
      <c r="F21" s="2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8"/>
      <c r="R21" s="34">
        <f t="shared" si="0"/>
        <v>0</v>
      </c>
      <c r="S21" s="23"/>
    </row>
    <row r="22" spans="1:19" s="26" customFormat="1" ht="12.75">
      <c r="A22" s="44"/>
      <c r="B22" s="23"/>
      <c r="C22" s="23"/>
      <c r="D22" s="23"/>
      <c r="E22" s="23"/>
      <c r="F22" s="27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8"/>
      <c r="R22" s="34">
        <f t="shared" si="0"/>
        <v>0</v>
      </c>
      <c r="S22" s="23"/>
    </row>
    <row r="23" spans="1:20" s="22" customFormat="1" ht="12.75">
      <c r="A23" s="32" t="s">
        <v>303</v>
      </c>
      <c r="B23" s="32" t="s">
        <v>180</v>
      </c>
      <c r="C23" s="33"/>
      <c r="D23" s="33"/>
      <c r="E23" s="33"/>
      <c r="F23" s="34">
        <f>SUM(F19:F22)</f>
        <v>6.59</v>
      </c>
      <c r="G23" s="34">
        <f aca="true" t="shared" si="4" ref="G23:Q23">SUM(G19:G22)</f>
        <v>0</v>
      </c>
      <c r="H23" s="34">
        <f t="shared" si="4"/>
        <v>0</v>
      </c>
      <c r="I23" s="34">
        <f t="shared" si="4"/>
        <v>0</v>
      </c>
      <c r="J23" s="34">
        <f t="shared" si="4"/>
        <v>6.59</v>
      </c>
      <c r="K23" s="34">
        <f t="shared" si="4"/>
        <v>0</v>
      </c>
      <c r="L23" s="34">
        <f t="shared" si="4"/>
        <v>0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0</v>
      </c>
      <c r="Q23" s="34">
        <f t="shared" si="4"/>
        <v>0</v>
      </c>
      <c r="R23" s="34">
        <f t="shared" si="0"/>
        <v>0</v>
      </c>
      <c r="S23" s="23"/>
      <c r="T23" s="22" t="s">
        <v>16</v>
      </c>
    </row>
    <row r="24" spans="1:19" s="22" customFormat="1" ht="12.75">
      <c r="A24" s="23"/>
      <c r="B24" s="23"/>
      <c r="C24" s="23"/>
      <c r="D24" s="23"/>
      <c r="E24" s="23"/>
      <c r="F24" s="27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8"/>
      <c r="R24" s="34">
        <f t="shared" si="0"/>
        <v>0</v>
      </c>
      <c r="S24" s="23"/>
    </row>
    <row r="25" spans="1:19" ht="12.75">
      <c r="A25" s="23"/>
      <c r="B25" s="23"/>
      <c r="C25" s="23"/>
      <c r="D25" s="23"/>
      <c r="E25" s="23"/>
      <c r="F25" s="27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8"/>
      <c r="R25" s="34">
        <f t="shared" si="0"/>
        <v>0</v>
      </c>
      <c r="S25" s="23"/>
    </row>
    <row r="26" spans="1:19" ht="12.75">
      <c r="A26" s="23" t="s">
        <v>382</v>
      </c>
      <c r="B26" s="23" t="s">
        <v>383</v>
      </c>
      <c r="C26" s="23"/>
      <c r="D26" s="23" t="s">
        <v>16</v>
      </c>
      <c r="E26" s="23" t="s">
        <v>384</v>
      </c>
      <c r="F26" s="27">
        <v>2000</v>
      </c>
      <c r="G26" s="23"/>
      <c r="H26" s="23"/>
      <c r="I26" s="23"/>
      <c r="J26" s="23"/>
      <c r="K26" s="23"/>
      <c r="L26" s="23"/>
      <c r="M26" s="23"/>
      <c r="N26" s="23"/>
      <c r="O26" s="23"/>
      <c r="P26" s="23">
        <v>2000</v>
      </c>
      <c r="Q26" s="28"/>
      <c r="R26" s="34">
        <f t="shared" si="0"/>
        <v>0</v>
      </c>
      <c r="S26" s="23"/>
    </row>
    <row r="27" spans="1:19" ht="12.75">
      <c r="A27" s="23"/>
      <c r="B27" s="23"/>
      <c r="C27" s="23"/>
      <c r="D27" s="23"/>
      <c r="E27" s="23"/>
      <c r="F27" s="27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8"/>
      <c r="R27" s="34">
        <f t="shared" si="0"/>
        <v>0</v>
      </c>
      <c r="S27" s="23"/>
    </row>
    <row r="28" spans="1:19" ht="12.75">
      <c r="A28" s="23"/>
      <c r="B28" s="23"/>
      <c r="C28" s="23"/>
      <c r="D28" s="23"/>
      <c r="E28" s="23"/>
      <c r="F28" s="27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8"/>
      <c r="R28" s="34">
        <f t="shared" si="0"/>
        <v>0</v>
      </c>
      <c r="S28" s="23"/>
    </row>
    <row r="29" spans="1:20" ht="12.75">
      <c r="A29" s="32" t="s">
        <v>35</v>
      </c>
      <c r="B29" s="33" t="s">
        <v>381</v>
      </c>
      <c r="C29" s="33"/>
      <c r="D29" s="33"/>
      <c r="E29" s="33"/>
      <c r="F29" s="34">
        <f>SUM(F24:F28)</f>
        <v>2000</v>
      </c>
      <c r="G29" s="34">
        <f aca="true" t="shared" si="5" ref="G29:Q29">SUM(G24:G28)</f>
        <v>0</v>
      </c>
      <c r="H29" s="34">
        <f t="shared" si="5"/>
        <v>0</v>
      </c>
      <c r="I29" s="34">
        <f>SUM(I24:I28)</f>
        <v>0</v>
      </c>
      <c r="J29" s="34">
        <f t="shared" si="5"/>
        <v>0</v>
      </c>
      <c r="K29" s="34">
        <f t="shared" si="5"/>
        <v>0</v>
      </c>
      <c r="L29" s="34">
        <f t="shared" si="5"/>
        <v>0</v>
      </c>
      <c r="M29" s="34">
        <f t="shared" si="5"/>
        <v>0</v>
      </c>
      <c r="N29" s="34">
        <f t="shared" si="5"/>
        <v>0</v>
      </c>
      <c r="O29" s="34">
        <f t="shared" si="5"/>
        <v>0</v>
      </c>
      <c r="P29" s="34">
        <f>SUM(P24:P28)</f>
        <v>2000</v>
      </c>
      <c r="Q29" s="34">
        <f t="shared" si="5"/>
        <v>0</v>
      </c>
      <c r="R29" s="34">
        <f t="shared" si="0"/>
        <v>0</v>
      </c>
      <c r="S29" s="23"/>
      <c r="T29" t="s">
        <v>16</v>
      </c>
    </row>
    <row r="30" spans="1:19" ht="12.75">
      <c r="A30" s="23"/>
      <c r="B30" s="23"/>
      <c r="C30" s="23"/>
      <c r="D30" s="23"/>
      <c r="E30" s="23"/>
      <c r="F30" s="27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8"/>
      <c r="R30" s="34">
        <f t="shared" si="0"/>
        <v>0</v>
      </c>
      <c r="S30" s="23"/>
    </row>
    <row r="31" spans="1:19" ht="12.75">
      <c r="A31" s="23"/>
      <c r="B31" s="23"/>
      <c r="C31" s="23"/>
      <c r="D31" s="23"/>
      <c r="E31" s="23"/>
      <c r="F31" s="2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8"/>
      <c r="R31" s="34">
        <f t="shared" si="0"/>
        <v>0</v>
      </c>
      <c r="S31" s="23"/>
    </row>
    <row r="32" spans="1:19" ht="12.75">
      <c r="A32" s="23"/>
      <c r="B32" s="23"/>
      <c r="C32" s="23"/>
      <c r="D32" s="23"/>
      <c r="E32" s="23"/>
      <c r="F32" s="27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8"/>
      <c r="R32" s="34">
        <f t="shared" si="0"/>
        <v>0</v>
      </c>
      <c r="S32" s="23"/>
    </row>
    <row r="33" spans="1:20" ht="12.75">
      <c r="A33" s="32" t="s">
        <v>35</v>
      </c>
      <c r="B33" s="33" t="s">
        <v>424</v>
      </c>
      <c r="C33" s="33"/>
      <c r="D33" s="33"/>
      <c r="E33" s="33"/>
      <c r="F33" s="34">
        <f>SUM(F30:F32)</f>
        <v>0</v>
      </c>
      <c r="G33" s="34">
        <f>G31</f>
        <v>0</v>
      </c>
      <c r="H33" s="34">
        <f aca="true" t="shared" si="6" ref="H33:Q33">SUM(H30:H32)</f>
        <v>0</v>
      </c>
      <c r="I33" s="34"/>
      <c r="J33" s="34">
        <f t="shared" si="6"/>
        <v>0</v>
      </c>
      <c r="K33" s="34">
        <f t="shared" si="6"/>
        <v>0</v>
      </c>
      <c r="L33" s="34">
        <f t="shared" si="6"/>
        <v>0</v>
      </c>
      <c r="M33" s="34">
        <f t="shared" si="6"/>
        <v>0</v>
      </c>
      <c r="N33" s="34">
        <f t="shared" si="6"/>
        <v>0</v>
      </c>
      <c r="O33" s="34">
        <f t="shared" si="6"/>
        <v>0</v>
      </c>
      <c r="P33" s="34">
        <f>SUM(P30:P32)</f>
        <v>0</v>
      </c>
      <c r="Q33" s="34">
        <f t="shared" si="6"/>
        <v>0</v>
      </c>
      <c r="R33" s="34">
        <f t="shared" si="0"/>
        <v>0</v>
      </c>
      <c r="S33" s="23"/>
      <c r="T33" t="s">
        <v>16</v>
      </c>
    </row>
    <row r="34" spans="1:19" ht="12.75">
      <c r="A34" s="23"/>
      <c r="B34" s="35"/>
      <c r="C34" s="23"/>
      <c r="D34" s="23"/>
      <c r="E34" s="23"/>
      <c r="F34" s="27"/>
      <c r="G34" s="23"/>
      <c r="H34" s="23"/>
      <c r="I34" s="23"/>
      <c r="J34" s="28"/>
      <c r="K34" s="23"/>
      <c r="L34" s="23"/>
      <c r="M34" s="23"/>
      <c r="N34" s="23"/>
      <c r="O34" s="23"/>
      <c r="P34" s="23"/>
      <c r="Q34" s="28"/>
      <c r="R34" s="34">
        <f t="shared" si="0"/>
        <v>0</v>
      </c>
      <c r="S34" s="23"/>
    </row>
    <row r="35" spans="1:19" ht="12.75">
      <c r="A35" s="23" t="s">
        <v>398</v>
      </c>
      <c r="B35" s="35" t="s">
        <v>399</v>
      </c>
      <c r="C35" s="23"/>
      <c r="D35" s="23"/>
      <c r="E35" s="23"/>
      <c r="F35" s="27">
        <f>2.29+2.22+2.01</f>
        <v>6.52</v>
      </c>
      <c r="G35" s="23"/>
      <c r="H35" s="23"/>
      <c r="I35" s="23"/>
      <c r="J35" s="28">
        <v>6.52</v>
      </c>
      <c r="K35" s="23"/>
      <c r="L35" s="23"/>
      <c r="M35" s="23"/>
      <c r="N35" s="23"/>
      <c r="O35" s="23"/>
      <c r="P35" s="23"/>
      <c r="Q35" s="28"/>
      <c r="R35" s="34">
        <f t="shared" si="0"/>
        <v>0</v>
      </c>
      <c r="S35" s="23"/>
    </row>
    <row r="36" spans="1:19" ht="12.75">
      <c r="A36" s="23" t="s">
        <v>400</v>
      </c>
      <c r="B36" s="35" t="s">
        <v>401</v>
      </c>
      <c r="C36" s="23"/>
      <c r="D36" s="23"/>
      <c r="E36" s="23"/>
      <c r="F36" s="27">
        <v>356.66</v>
      </c>
      <c r="G36" s="23"/>
      <c r="H36" s="23"/>
      <c r="I36" s="23"/>
      <c r="J36" s="28"/>
      <c r="K36" s="23"/>
      <c r="L36" s="23"/>
      <c r="M36" s="23"/>
      <c r="N36" s="23"/>
      <c r="O36" s="23"/>
      <c r="P36" s="23"/>
      <c r="Q36" s="28">
        <v>356.66</v>
      </c>
      <c r="R36" s="34">
        <f t="shared" si="0"/>
        <v>0</v>
      </c>
      <c r="S36" s="23"/>
    </row>
    <row r="37" spans="1:19" ht="12.75">
      <c r="A37" s="23"/>
      <c r="B37" s="35"/>
      <c r="C37" s="23"/>
      <c r="D37" s="23"/>
      <c r="E37" s="23"/>
      <c r="F37" s="27"/>
      <c r="G37" s="23"/>
      <c r="H37" s="23"/>
      <c r="I37" s="23"/>
      <c r="J37" s="28"/>
      <c r="K37" s="23"/>
      <c r="L37" s="23"/>
      <c r="M37" s="23"/>
      <c r="N37" s="23"/>
      <c r="O37" s="23"/>
      <c r="P37" s="23"/>
      <c r="Q37" s="28"/>
      <c r="R37" s="34">
        <f t="shared" si="0"/>
        <v>0</v>
      </c>
      <c r="S37" s="23"/>
    </row>
    <row r="38" spans="1:19" ht="12.75">
      <c r="A38" s="23"/>
      <c r="B38" s="35"/>
      <c r="C38" s="23"/>
      <c r="D38" s="23"/>
      <c r="E38" s="23"/>
      <c r="F38" s="27"/>
      <c r="G38" s="23"/>
      <c r="H38" s="23"/>
      <c r="I38" s="23"/>
      <c r="J38" s="28"/>
      <c r="K38" s="23"/>
      <c r="L38" s="23"/>
      <c r="M38" s="23"/>
      <c r="N38" s="23"/>
      <c r="O38" s="23"/>
      <c r="P38" s="23"/>
      <c r="Q38" s="28"/>
      <c r="R38" s="34">
        <f t="shared" si="0"/>
        <v>0</v>
      </c>
      <c r="S38" s="23"/>
    </row>
    <row r="39" spans="1:19" ht="12.75">
      <c r="A39" s="23"/>
      <c r="B39" s="35"/>
      <c r="C39" s="23"/>
      <c r="D39" s="23"/>
      <c r="E39" s="23"/>
      <c r="F39" s="27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8"/>
      <c r="R39" s="34">
        <f t="shared" si="0"/>
        <v>0</v>
      </c>
      <c r="S39" s="23"/>
    </row>
    <row r="40" spans="1:20" ht="12.75">
      <c r="A40" s="32" t="s">
        <v>35</v>
      </c>
      <c r="B40" s="33" t="s">
        <v>403</v>
      </c>
      <c r="C40" s="33"/>
      <c r="D40" s="33"/>
      <c r="E40" s="33"/>
      <c r="F40" s="174">
        <f>SUM(F34:F39)</f>
        <v>363.18</v>
      </c>
      <c r="G40" s="34">
        <f aca="true" t="shared" si="7" ref="G40:Q40">SUM(G34:G39)</f>
        <v>0</v>
      </c>
      <c r="H40" s="34"/>
      <c r="I40" s="34"/>
      <c r="J40" s="34">
        <f t="shared" si="7"/>
        <v>6.52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  <c r="O40" s="34">
        <f t="shared" si="7"/>
        <v>0</v>
      </c>
      <c r="P40" s="34">
        <f>SUM(P34:P39)</f>
        <v>0</v>
      </c>
      <c r="Q40" s="34">
        <f t="shared" si="7"/>
        <v>356.66</v>
      </c>
      <c r="R40" s="34">
        <f t="shared" si="0"/>
        <v>0</v>
      </c>
      <c r="S40" s="23"/>
      <c r="T40" t="s">
        <v>16</v>
      </c>
    </row>
    <row r="41" spans="1:19" ht="12.75">
      <c r="A41" s="23"/>
      <c r="B41" s="35"/>
      <c r="C41" s="23"/>
      <c r="D41" s="23"/>
      <c r="E41" s="23"/>
      <c r="F41" s="27"/>
      <c r="G41" s="23"/>
      <c r="H41" s="23"/>
      <c r="I41" s="23"/>
      <c r="J41" s="28"/>
      <c r="K41" s="23"/>
      <c r="L41" s="23"/>
      <c r="M41" s="23"/>
      <c r="N41" s="23"/>
      <c r="O41" s="23"/>
      <c r="P41" s="23"/>
      <c r="Q41" s="28"/>
      <c r="R41" s="34">
        <f t="shared" si="0"/>
        <v>0</v>
      </c>
      <c r="S41" s="23"/>
    </row>
    <row r="42" spans="1:19" ht="12.75">
      <c r="A42" s="23" t="s">
        <v>404</v>
      </c>
      <c r="B42" s="35" t="s">
        <v>61</v>
      </c>
      <c r="C42" s="23"/>
      <c r="D42" s="23"/>
      <c r="E42" s="23" t="s">
        <v>322</v>
      </c>
      <c r="F42" s="27">
        <v>2049</v>
      </c>
      <c r="G42" s="23">
        <v>1875</v>
      </c>
      <c r="H42" s="23">
        <v>174</v>
      </c>
      <c r="I42" s="23"/>
      <c r="J42" s="28"/>
      <c r="K42" s="23"/>
      <c r="L42" s="23"/>
      <c r="M42" s="23"/>
      <c r="N42" s="23"/>
      <c r="O42" s="23"/>
      <c r="P42" s="23"/>
      <c r="Q42" s="28"/>
      <c r="R42" s="34">
        <f t="shared" si="0"/>
        <v>0</v>
      </c>
      <c r="S42" s="23"/>
    </row>
    <row r="43" ht="12.75">
      <c r="R43" s="34">
        <f t="shared" si="0"/>
        <v>0</v>
      </c>
    </row>
    <row r="44" spans="1:19" ht="12.75">
      <c r="A44" s="23"/>
      <c r="B44" s="35"/>
      <c r="C44" s="23"/>
      <c r="D44" s="23"/>
      <c r="E44" s="23"/>
      <c r="F44" s="27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8"/>
      <c r="R44" s="34">
        <f t="shared" si="0"/>
        <v>0</v>
      </c>
      <c r="S44" s="23"/>
    </row>
    <row r="45" spans="1:20" ht="12.75">
      <c r="A45" s="32" t="s">
        <v>35</v>
      </c>
      <c r="B45" s="33" t="s">
        <v>402</v>
      </c>
      <c r="C45" s="33"/>
      <c r="D45" s="33"/>
      <c r="E45" s="33"/>
      <c r="F45" s="34">
        <f>SUM(F41:F44)</f>
        <v>2049</v>
      </c>
      <c r="G45" s="34">
        <f aca="true" t="shared" si="8" ref="G45:Q45">SUM(G41:G44)</f>
        <v>1875</v>
      </c>
      <c r="H45" s="34">
        <f t="shared" si="8"/>
        <v>174</v>
      </c>
      <c r="I45" s="34"/>
      <c r="J45" s="34">
        <f>SUM(J41:J44)</f>
        <v>0</v>
      </c>
      <c r="K45" s="34">
        <f t="shared" si="8"/>
        <v>0</v>
      </c>
      <c r="L45" s="34">
        <f t="shared" si="8"/>
        <v>0</v>
      </c>
      <c r="M45" s="34">
        <f t="shared" si="8"/>
        <v>0</v>
      </c>
      <c r="N45" s="34">
        <f t="shared" si="8"/>
        <v>0</v>
      </c>
      <c r="O45" s="34">
        <f t="shared" si="8"/>
        <v>0</v>
      </c>
      <c r="P45" s="34">
        <f>SUM(P41:P44)</f>
        <v>0</v>
      </c>
      <c r="Q45" s="34">
        <f t="shared" si="8"/>
        <v>0</v>
      </c>
      <c r="R45" s="34">
        <f t="shared" si="0"/>
        <v>0</v>
      </c>
      <c r="S45" s="23"/>
      <c r="T45" t="s">
        <v>16</v>
      </c>
    </row>
    <row r="46" spans="1:18" ht="12.75">
      <c r="A46" s="23"/>
      <c r="B46" s="35"/>
      <c r="C46" s="22"/>
      <c r="D46" s="22"/>
      <c r="E46" s="23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34">
        <f t="shared" si="0"/>
        <v>0</v>
      </c>
    </row>
    <row r="47" spans="1:19" ht="12.75">
      <c r="A47" s="23" t="s">
        <v>425</v>
      </c>
      <c r="B47" s="35" t="s">
        <v>240</v>
      </c>
      <c r="C47" s="23"/>
      <c r="D47" s="23"/>
      <c r="E47" s="23"/>
      <c r="F47" s="27">
        <v>187.59</v>
      </c>
      <c r="G47" s="23"/>
      <c r="H47" s="23"/>
      <c r="I47" s="23"/>
      <c r="J47" s="28"/>
      <c r="K47" s="23"/>
      <c r="L47" s="23"/>
      <c r="M47" s="23"/>
      <c r="N47" s="23"/>
      <c r="O47" s="23"/>
      <c r="P47" s="23"/>
      <c r="Q47" s="28">
        <v>187.59</v>
      </c>
      <c r="R47" s="34">
        <f t="shared" si="0"/>
        <v>0</v>
      </c>
      <c r="S47" s="23"/>
    </row>
    <row r="48" spans="1:18" ht="12.75">
      <c r="A48" s="23" t="s">
        <v>426</v>
      </c>
      <c r="B48" s="35" t="s">
        <v>161</v>
      </c>
      <c r="C48" s="22"/>
      <c r="D48" s="22"/>
      <c r="E48" s="22" t="s">
        <v>427</v>
      </c>
      <c r="F48" s="25">
        <v>8.81</v>
      </c>
      <c r="G48" s="22"/>
      <c r="H48" s="22"/>
      <c r="I48" s="22"/>
      <c r="J48" s="22">
        <v>8.81</v>
      </c>
      <c r="K48" s="22"/>
      <c r="L48" s="22"/>
      <c r="M48" s="22"/>
      <c r="N48" s="22"/>
      <c r="O48" s="22"/>
      <c r="P48" s="22"/>
      <c r="Q48" s="22"/>
      <c r="R48" s="34">
        <f t="shared" si="0"/>
        <v>0</v>
      </c>
    </row>
    <row r="49" spans="1:18" ht="12.75">
      <c r="A49" s="23"/>
      <c r="B49" s="35"/>
      <c r="C49" s="22"/>
      <c r="D49" s="22"/>
      <c r="E49" s="23"/>
      <c r="F49" s="25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34">
        <f t="shared" si="0"/>
        <v>0</v>
      </c>
    </row>
    <row r="50" spans="1:20" ht="12.75">
      <c r="A50" s="32" t="s">
        <v>35</v>
      </c>
      <c r="B50" s="33" t="s">
        <v>39</v>
      </c>
      <c r="C50" s="33"/>
      <c r="D50" s="33"/>
      <c r="E50" s="33"/>
      <c r="F50" s="34">
        <f>SUM(F46:F49)</f>
        <v>196.4</v>
      </c>
      <c r="G50" s="34">
        <f>SUM(G46:G48)</f>
        <v>0</v>
      </c>
      <c r="H50" s="34"/>
      <c r="I50" s="34"/>
      <c r="J50" s="34">
        <f aca="true" t="shared" si="9" ref="J50:O50">SUM(J46:J48)</f>
        <v>8.81</v>
      </c>
      <c r="K50" s="34">
        <f t="shared" si="9"/>
        <v>0</v>
      </c>
      <c r="L50" s="34">
        <f t="shared" si="9"/>
        <v>0</v>
      </c>
      <c r="M50" s="34">
        <f t="shared" si="9"/>
        <v>0</v>
      </c>
      <c r="N50" s="34">
        <f t="shared" si="9"/>
        <v>0</v>
      </c>
      <c r="O50" s="34">
        <f t="shared" si="9"/>
        <v>0</v>
      </c>
      <c r="P50" s="34">
        <f>SUM(P46:P48)</f>
        <v>0</v>
      </c>
      <c r="Q50" s="34">
        <f>SUM(Q46:Q48)</f>
        <v>187.59</v>
      </c>
      <c r="R50" s="34">
        <f t="shared" si="0"/>
        <v>0</v>
      </c>
      <c r="S50" s="23"/>
      <c r="T50" t="s">
        <v>16</v>
      </c>
    </row>
    <row r="51" spans="1:19" ht="12.75">
      <c r="A51" s="36" t="s">
        <v>415</v>
      </c>
      <c r="B51" s="35" t="s">
        <v>439</v>
      </c>
      <c r="C51" s="35" t="s">
        <v>16</v>
      </c>
      <c r="D51" s="35"/>
      <c r="E51" s="35" t="s">
        <v>440</v>
      </c>
      <c r="F51" s="37">
        <v>3750</v>
      </c>
      <c r="G51" s="37"/>
      <c r="H51" s="37"/>
      <c r="I51" s="37">
        <v>3750</v>
      </c>
      <c r="J51" s="37"/>
      <c r="K51" s="37"/>
      <c r="L51" s="37"/>
      <c r="M51" s="37"/>
      <c r="N51" s="37"/>
      <c r="O51" s="37"/>
      <c r="P51" s="37"/>
      <c r="Q51" s="37"/>
      <c r="R51" s="34">
        <f t="shared" si="0"/>
        <v>0</v>
      </c>
      <c r="S51" s="23"/>
    </row>
    <row r="52" spans="1:18" ht="12.75">
      <c r="A52" s="23" t="s">
        <v>438</v>
      </c>
      <c r="B52" s="35" t="s">
        <v>240</v>
      </c>
      <c r="F52" s="24">
        <v>115.97</v>
      </c>
      <c r="Q52">
        <v>115.97</v>
      </c>
      <c r="R52" s="34">
        <f t="shared" si="0"/>
        <v>0</v>
      </c>
    </row>
    <row r="53" spans="1:18" ht="12.75">
      <c r="A53" s="23"/>
      <c r="B53" s="35" t="s">
        <v>380</v>
      </c>
      <c r="C53" t="s">
        <v>16</v>
      </c>
      <c r="E53" t="s">
        <v>161</v>
      </c>
      <c r="F53" s="24">
        <v>8.59</v>
      </c>
      <c r="J53">
        <v>8.59</v>
      </c>
      <c r="R53" s="34">
        <f t="shared" si="0"/>
        <v>0</v>
      </c>
    </row>
    <row r="54" spans="1:18" ht="12.75">
      <c r="A54" t="s">
        <v>415</v>
      </c>
      <c r="B54" t="s">
        <v>436</v>
      </c>
      <c r="C54" t="s">
        <v>16</v>
      </c>
      <c r="E54" t="s">
        <v>437</v>
      </c>
      <c r="F54" s="24">
        <v>80</v>
      </c>
      <c r="P54">
        <v>80</v>
      </c>
      <c r="R54" s="34">
        <f t="shared" si="0"/>
        <v>0</v>
      </c>
    </row>
    <row r="55" spans="1:18" ht="12.75">
      <c r="A55" s="23" t="s">
        <v>415</v>
      </c>
      <c r="B55" s="35" t="s">
        <v>416</v>
      </c>
      <c r="C55" s="22" t="s">
        <v>16</v>
      </c>
      <c r="D55" s="22"/>
      <c r="E55" s="22"/>
      <c r="F55" s="25">
        <v>14000</v>
      </c>
      <c r="G55" s="22"/>
      <c r="H55" s="22"/>
      <c r="I55" s="22"/>
      <c r="J55" s="22"/>
      <c r="K55" s="22"/>
      <c r="L55" s="22"/>
      <c r="M55" s="22"/>
      <c r="N55" s="22"/>
      <c r="O55" s="22">
        <v>14000</v>
      </c>
      <c r="P55" s="22"/>
      <c r="Q55" s="22"/>
      <c r="R55" s="34">
        <f t="shared" si="0"/>
        <v>0</v>
      </c>
    </row>
    <row r="56" spans="1:18" ht="12.75">
      <c r="A56" s="23" t="s">
        <v>417</v>
      </c>
      <c r="B56" s="35" t="s">
        <v>380</v>
      </c>
      <c r="C56" s="22" t="s">
        <v>16</v>
      </c>
      <c r="D56" s="22"/>
      <c r="E56" s="23" t="s">
        <v>161</v>
      </c>
      <c r="F56" s="25">
        <v>9.88</v>
      </c>
      <c r="G56" s="22"/>
      <c r="H56" s="22"/>
      <c r="I56" s="22"/>
      <c r="J56" s="22">
        <v>9.88</v>
      </c>
      <c r="K56" s="22"/>
      <c r="L56" s="22"/>
      <c r="M56" s="22"/>
      <c r="N56" s="22"/>
      <c r="O56" s="22"/>
      <c r="P56" s="22"/>
      <c r="Q56" s="22"/>
      <c r="R56" s="34">
        <f t="shared" si="0"/>
        <v>0</v>
      </c>
    </row>
    <row r="57" spans="1:20" ht="12.75">
      <c r="A57" s="32" t="s">
        <v>35</v>
      </c>
      <c r="B57" s="33" t="s">
        <v>145</v>
      </c>
      <c r="C57" s="33"/>
      <c r="D57" s="33"/>
      <c r="E57" s="33"/>
      <c r="F57" s="34">
        <f>SUM(F51:F56)</f>
        <v>17964.440000000002</v>
      </c>
      <c r="G57" s="34">
        <f>SUM(G52:G55)</f>
        <v>0</v>
      </c>
      <c r="H57" s="34">
        <f>SUM(H52:H55)</f>
        <v>0</v>
      </c>
      <c r="I57" s="34">
        <f>SUM(I51:I55)</f>
        <v>3750</v>
      </c>
      <c r="J57" s="34">
        <f>SUM(J52:J56)</f>
        <v>18.47</v>
      </c>
      <c r="K57" s="34">
        <f aca="true" t="shared" si="10" ref="K57:Q57">SUM(K52:K55)</f>
        <v>0</v>
      </c>
      <c r="L57" s="34">
        <f t="shared" si="10"/>
        <v>0</v>
      </c>
      <c r="M57" s="34">
        <f t="shared" si="10"/>
        <v>0</v>
      </c>
      <c r="N57" s="34">
        <f t="shared" si="10"/>
        <v>0</v>
      </c>
      <c r="O57" s="34">
        <f t="shared" si="10"/>
        <v>14000</v>
      </c>
      <c r="P57" s="34">
        <f>SUM(P52:P55)</f>
        <v>80</v>
      </c>
      <c r="Q57" s="34">
        <f t="shared" si="10"/>
        <v>115.97</v>
      </c>
      <c r="R57" s="34">
        <f t="shared" si="0"/>
        <v>0</v>
      </c>
      <c r="S57" s="23"/>
      <c r="T57" t="s">
        <v>16</v>
      </c>
    </row>
    <row r="58" spans="1:18" ht="12.75">
      <c r="A58" s="23" t="s">
        <v>411</v>
      </c>
      <c r="B58" s="35" t="s">
        <v>431</v>
      </c>
      <c r="C58" s="22"/>
      <c r="D58" s="22"/>
      <c r="E58" s="23" t="s">
        <v>432</v>
      </c>
      <c r="F58" s="25">
        <v>259.04</v>
      </c>
      <c r="G58" s="22"/>
      <c r="H58" s="22"/>
      <c r="I58" s="22"/>
      <c r="J58" s="22"/>
      <c r="K58" s="22"/>
      <c r="L58" s="22"/>
      <c r="M58" s="22"/>
      <c r="N58" s="22"/>
      <c r="O58" s="22"/>
      <c r="P58" s="22">
        <v>259.04</v>
      </c>
      <c r="Q58" s="22"/>
      <c r="R58" s="34">
        <f>F58-SUM(G58:Q58)</f>
        <v>0</v>
      </c>
    </row>
    <row r="59" spans="1:19" ht="12.75">
      <c r="A59" s="23" t="s">
        <v>413</v>
      </c>
      <c r="B59" s="35" t="s">
        <v>414</v>
      </c>
      <c r="C59" s="23"/>
      <c r="D59" s="23"/>
      <c r="E59" s="23" t="s">
        <v>429</v>
      </c>
      <c r="F59" s="27">
        <v>2000</v>
      </c>
      <c r="G59" s="23"/>
      <c r="H59" s="23"/>
      <c r="I59" s="23"/>
      <c r="J59" s="28"/>
      <c r="K59" s="23"/>
      <c r="L59" s="23"/>
      <c r="M59" s="23"/>
      <c r="N59" s="23"/>
      <c r="O59" s="23"/>
      <c r="P59" s="23">
        <v>2000</v>
      </c>
      <c r="Q59" s="28"/>
      <c r="R59" s="34">
        <f>F59-SUM(G59:Q59)</f>
        <v>0</v>
      </c>
      <c r="S59" s="23"/>
    </row>
    <row r="60" spans="1:20" ht="12.75">
      <c r="A60" s="32" t="s">
        <v>35</v>
      </c>
      <c r="B60" s="33" t="s">
        <v>146</v>
      </c>
      <c r="C60" s="33"/>
      <c r="D60" s="33"/>
      <c r="E60" s="33"/>
      <c r="F60" s="34">
        <f>SUM(F58:F59)</f>
        <v>2259.04</v>
      </c>
      <c r="G60" s="34">
        <f>SUM(G57:G61)</f>
        <v>0</v>
      </c>
      <c r="H60" s="34"/>
      <c r="I60" s="34"/>
      <c r="J60" s="34">
        <f aca="true" t="shared" si="11" ref="J60:Q60">SUM(J57:J61)</f>
        <v>0</v>
      </c>
      <c r="K60" s="34">
        <f t="shared" si="11"/>
        <v>140</v>
      </c>
      <c r="L60" s="34">
        <f t="shared" si="11"/>
        <v>0</v>
      </c>
      <c r="M60" s="34">
        <f t="shared" si="11"/>
        <v>582.01</v>
      </c>
      <c r="N60" s="34">
        <f t="shared" si="11"/>
        <v>0</v>
      </c>
      <c r="O60" s="34">
        <f t="shared" si="11"/>
        <v>0</v>
      </c>
      <c r="P60" s="34">
        <f t="shared" si="11"/>
        <v>259.04</v>
      </c>
      <c r="Q60" s="34">
        <f t="shared" si="11"/>
        <v>0</v>
      </c>
      <c r="R60" s="34">
        <f>F60-SUM(G60:Q60)</f>
        <v>0</v>
      </c>
      <c r="S60" s="23"/>
      <c r="T60" t="s">
        <v>16</v>
      </c>
    </row>
    <row r="61" spans="7:18" ht="12.75"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4">
        <f aca="true" t="shared" si="12" ref="R61:R79">F61-SUM(G61:Q61)</f>
        <v>0</v>
      </c>
    </row>
    <row r="62" spans="1:18" ht="12.75">
      <c r="A62" s="22" t="s">
        <v>433</v>
      </c>
      <c r="B62" t="s">
        <v>434</v>
      </c>
      <c r="C62" s="22" t="s">
        <v>16</v>
      </c>
      <c r="D62" s="22"/>
      <c r="E62" s="22" t="s">
        <v>435</v>
      </c>
      <c r="F62" s="25">
        <v>140</v>
      </c>
      <c r="G62" s="22"/>
      <c r="H62" s="22"/>
      <c r="I62" s="22"/>
      <c r="J62" s="22"/>
      <c r="K62" s="22">
        <v>140</v>
      </c>
      <c r="L62" s="22"/>
      <c r="M62" s="22"/>
      <c r="N62" s="22"/>
      <c r="O62" s="22"/>
      <c r="P62" s="22"/>
      <c r="Q62" s="22"/>
      <c r="R62" s="34">
        <f t="shared" si="12"/>
        <v>0</v>
      </c>
    </row>
    <row r="63" spans="1:18" ht="12.75">
      <c r="A63" s="22" t="s">
        <v>430</v>
      </c>
      <c r="B63" s="35" t="s">
        <v>334</v>
      </c>
      <c r="C63" s="22" t="s">
        <v>16</v>
      </c>
      <c r="E63" t="s">
        <v>412</v>
      </c>
      <c r="F63" s="24">
        <v>582.01</v>
      </c>
      <c r="G63" s="22"/>
      <c r="H63" s="22"/>
      <c r="I63" s="22"/>
      <c r="J63" s="22"/>
      <c r="K63" s="22"/>
      <c r="L63" s="22"/>
      <c r="M63" s="22">
        <v>582.01</v>
      </c>
      <c r="N63" s="22"/>
      <c r="O63" s="22"/>
      <c r="P63" s="22"/>
      <c r="Q63" s="22"/>
      <c r="R63" s="34">
        <f t="shared" si="12"/>
        <v>0</v>
      </c>
    </row>
    <row r="64" ht="12.75">
      <c r="R64" s="34">
        <f t="shared" si="12"/>
        <v>0</v>
      </c>
    </row>
    <row r="65" spans="1:20" ht="12.75">
      <c r="A65" s="32" t="s">
        <v>35</v>
      </c>
      <c r="B65" s="33" t="s">
        <v>147</v>
      </c>
      <c r="C65" s="33"/>
      <c r="D65" s="33"/>
      <c r="E65" s="33"/>
      <c r="F65" s="34">
        <f>SUM(F62:F64)</f>
        <v>722.01</v>
      </c>
      <c r="G65" s="34">
        <f>SUM(G62:G66)</f>
        <v>0</v>
      </c>
      <c r="H65" s="34"/>
      <c r="I65" s="34"/>
      <c r="J65" s="34">
        <f aca="true" t="shared" si="13" ref="J65:Q65">SUM(J62:J66)</f>
        <v>0</v>
      </c>
      <c r="K65" s="34">
        <f t="shared" si="13"/>
        <v>140</v>
      </c>
      <c r="L65" s="34">
        <f t="shared" si="13"/>
        <v>0</v>
      </c>
      <c r="M65" s="34">
        <f t="shared" si="13"/>
        <v>582.01</v>
      </c>
      <c r="N65" s="34">
        <f t="shared" si="13"/>
        <v>0</v>
      </c>
      <c r="O65" s="34">
        <f t="shared" si="13"/>
        <v>0</v>
      </c>
      <c r="P65" s="34">
        <f t="shared" si="13"/>
        <v>259.04</v>
      </c>
      <c r="Q65" s="34">
        <f t="shared" si="13"/>
        <v>0</v>
      </c>
      <c r="R65" s="34">
        <f t="shared" si="12"/>
        <v>0</v>
      </c>
      <c r="S65" s="23"/>
      <c r="T65" t="s">
        <v>16</v>
      </c>
    </row>
    <row r="66" spans="2:18" ht="12.75">
      <c r="B66" s="35" t="s">
        <v>441</v>
      </c>
      <c r="F66" s="24">
        <v>11.26</v>
      </c>
      <c r="J66">
        <v>11.26</v>
      </c>
      <c r="R66" s="34">
        <f t="shared" si="12"/>
        <v>0</v>
      </c>
    </row>
    <row r="67" spans="1:18" ht="12.75">
      <c r="A67" s="22" t="s">
        <v>443</v>
      </c>
      <c r="B67" s="35" t="s">
        <v>444</v>
      </c>
      <c r="C67" s="22" t="s">
        <v>16</v>
      </c>
      <c r="D67" s="22"/>
      <c r="E67" s="22" t="s">
        <v>445</v>
      </c>
      <c r="F67" s="25">
        <v>100</v>
      </c>
      <c r="G67" s="22"/>
      <c r="H67" s="22"/>
      <c r="I67" s="22"/>
      <c r="J67" s="22"/>
      <c r="K67" s="22"/>
      <c r="L67" s="22"/>
      <c r="M67" s="22"/>
      <c r="N67" s="22"/>
      <c r="O67" s="22"/>
      <c r="P67" s="22">
        <v>100</v>
      </c>
      <c r="Q67" s="22"/>
      <c r="R67" s="34">
        <f t="shared" si="12"/>
        <v>0</v>
      </c>
    </row>
    <row r="68" spans="2:18" ht="12.75">
      <c r="B68" s="35" t="s">
        <v>442</v>
      </c>
      <c r="F68" s="24">
        <v>10.17</v>
      </c>
      <c r="J68">
        <v>10.17</v>
      </c>
      <c r="R68" s="34">
        <f t="shared" si="12"/>
        <v>0</v>
      </c>
    </row>
    <row r="69" spans="1:18" ht="12.75">
      <c r="A69" s="22" t="s">
        <v>446</v>
      </c>
      <c r="B69" s="35" t="s">
        <v>173</v>
      </c>
      <c r="C69" s="22"/>
      <c r="D69" s="22"/>
      <c r="E69" s="22" t="s">
        <v>240</v>
      </c>
      <c r="F69" s="25">
        <v>55.17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55.17</v>
      </c>
      <c r="R69" s="34">
        <f t="shared" si="12"/>
        <v>0</v>
      </c>
    </row>
    <row r="70" spans="1:20" ht="12.75">
      <c r="A70" s="32" t="s">
        <v>35</v>
      </c>
      <c r="B70" s="33" t="s">
        <v>447</v>
      </c>
      <c r="C70" s="33"/>
      <c r="D70" s="33"/>
      <c r="E70" s="33"/>
      <c r="F70" s="34">
        <f>SUM(F66:F69)</f>
        <v>176.60000000000002</v>
      </c>
      <c r="G70" s="34">
        <f>SUM(G67:G69)</f>
        <v>0</v>
      </c>
      <c r="H70" s="34"/>
      <c r="I70" s="34"/>
      <c r="J70" s="34">
        <f>SUM(J66:J69)</f>
        <v>21.43</v>
      </c>
      <c r="K70" s="34">
        <f aca="true" t="shared" si="14" ref="K70:Q70">SUM(K67:K69)</f>
        <v>0</v>
      </c>
      <c r="L70" s="34">
        <f t="shared" si="14"/>
        <v>0</v>
      </c>
      <c r="M70" s="34">
        <f t="shared" si="14"/>
        <v>0</v>
      </c>
      <c r="N70" s="34">
        <f t="shared" si="14"/>
        <v>0</v>
      </c>
      <c r="O70" s="34">
        <f t="shared" si="14"/>
        <v>0</v>
      </c>
      <c r="P70" s="34">
        <f t="shared" si="14"/>
        <v>100</v>
      </c>
      <c r="Q70" s="34">
        <f t="shared" si="14"/>
        <v>55.17</v>
      </c>
      <c r="R70" s="34">
        <f t="shared" si="12"/>
        <v>0</v>
      </c>
      <c r="S70" s="23"/>
      <c r="T70" t="s">
        <v>16</v>
      </c>
    </row>
    <row r="71" spans="2:18" ht="12.75">
      <c r="B71" s="35" t="s">
        <v>448</v>
      </c>
      <c r="F71" s="24">
        <v>10.54</v>
      </c>
      <c r="J71">
        <v>10.54</v>
      </c>
      <c r="R71" s="34">
        <f t="shared" si="12"/>
        <v>0</v>
      </c>
    </row>
    <row r="72" spans="1:18" ht="12.75">
      <c r="A72" s="22" t="s">
        <v>449</v>
      </c>
      <c r="B72" s="35" t="s">
        <v>450</v>
      </c>
      <c r="C72" s="22" t="s">
        <v>16</v>
      </c>
      <c r="D72" s="22"/>
      <c r="E72" s="22" t="s">
        <v>435</v>
      </c>
      <c r="F72" s="25">
        <v>30</v>
      </c>
      <c r="G72" s="22"/>
      <c r="H72" s="22"/>
      <c r="I72" s="22"/>
      <c r="J72" s="22"/>
      <c r="K72" s="22">
        <v>30</v>
      </c>
      <c r="L72" s="22"/>
      <c r="M72" s="22"/>
      <c r="N72" s="22"/>
      <c r="O72" s="22"/>
      <c r="P72" s="22"/>
      <c r="Q72" s="22"/>
      <c r="R72" s="34">
        <f t="shared" si="12"/>
        <v>0</v>
      </c>
    </row>
    <row r="73" spans="2:18" ht="12.75">
      <c r="B73" s="35"/>
      <c r="R73" s="34">
        <f t="shared" si="12"/>
        <v>0</v>
      </c>
    </row>
    <row r="74" spans="1:18" ht="12.75">
      <c r="A74" s="22"/>
      <c r="B74" s="35"/>
      <c r="C74" s="22"/>
      <c r="D74" s="22"/>
      <c r="E74" s="22"/>
      <c r="F74" s="25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34">
        <f t="shared" si="12"/>
        <v>0</v>
      </c>
    </row>
    <row r="75" spans="1:20" ht="12.75">
      <c r="A75" s="32" t="s">
        <v>35</v>
      </c>
      <c r="B75" s="33" t="s">
        <v>447</v>
      </c>
      <c r="C75" s="33"/>
      <c r="D75" s="33"/>
      <c r="E75" s="33"/>
      <c r="F75" s="34">
        <f>SUM(F71:F74)</f>
        <v>40.54</v>
      </c>
      <c r="G75" s="34">
        <f>SUM(G72:G74)</f>
        <v>0</v>
      </c>
      <c r="H75" s="34"/>
      <c r="I75" s="34"/>
      <c r="J75" s="34">
        <f>SUM(J71:J74)</f>
        <v>10.54</v>
      </c>
      <c r="K75" s="34">
        <f aca="true" t="shared" si="15" ref="K75:Q75">SUM(K72:K74)</f>
        <v>30</v>
      </c>
      <c r="L75" s="34">
        <f t="shared" si="15"/>
        <v>0</v>
      </c>
      <c r="M75" s="34">
        <f t="shared" si="15"/>
        <v>0</v>
      </c>
      <c r="N75" s="34">
        <f t="shared" si="15"/>
        <v>0</v>
      </c>
      <c r="O75" s="34">
        <f t="shared" si="15"/>
        <v>0</v>
      </c>
      <c r="P75" s="34">
        <f t="shared" si="15"/>
        <v>0</v>
      </c>
      <c r="Q75" s="34">
        <f t="shared" si="15"/>
        <v>0</v>
      </c>
      <c r="R75" s="34">
        <f t="shared" si="12"/>
        <v>0</v>
      </c>
      <c r="S75" s="23"/>
      <c r="T75" t="s">
        <v>16</v>
      </c>
    </row>
    <row r="76" spans="1:18" ht="12.75">
      <c r="A76" s="23"/>
      <c r="B76" s="35"/>
      <c r="C76" s="23"/>
      <c r="D76" s="23"/>
      <c r="E76" s="23"/>
      <c r="F76" s="27"/>
      <c r="G76" s="23"/>
      <c r="H76" s="23"/>
      <c r="I76" s="23"/>
      <c r="J76" s="28"/>
      <c r="K76" s="23"/>
      <c r="L76" s="23"/>
      <c r="M76" s="23"/>
      <c r="N76" s="23"/>
      <c r="O76" s="23"/>
      <c r="P76" s="23"/>
      <c r="Q76" s="28"/>
      <c r="R76" s="34">
        <f t="shared" si="12"/>
        <v>0</v>
      </c>
    </row>
    <row r="77" spans="5:20" ht="13.5" thickBot="1">
      <c r="E77" s="24">
        <f>F78-G78-O78</f>
        <v>0</v>
      </c>
      <c r="R77" s="34">
        <f t="shared" si="12"/>
        <v>0</v>
      </c>
      <c r="T77" s="24">
        <f>F78-3750-14000</f>
        <v>13093.720000000005</v>
      </c>
    </row>
    <row r="78" spans="1:18" ht="13.5" thickBot="1">
      <c r="A78" t="s">
        <v>41</v>
      </c>
      <c r="F78" s="40">
        <f>SUM(F3:F77)/2</f>
        <v>30843.720000000005</v>
      </c>
      <c r="G78" s="40">
        <f>SUM(G3:G77)/2</f>
        <v>3750</v>
      </c>
      <c r="H78" s="40">
        <f aca="true" t="shared" si="16" ref="H78:Q78">SUM(H3:H77)/2</f>
        <v>349</v>
      </c>
      <c r="I78" s="40">
        <f>SUM(I3:I77)/2</f>
        <v>3750</v>
      </c>
      <c r="J78" s="40">
        <f t="shared" si="16"/>
        <v>40.39</v>
      </c>
      <c r="K78" s="40">
        <f t="shared" si="16"/>
        <v>140</v>
      </c>
      <c r="L78" s="40">
        <f t="shared" si="16"/>
        <v>0</v>
      </c>
      <c r="M78" s="40">
        <f t="shared" si="16"/>
        <v>582.01</v>
      </c>
      <c r="N78" s="40">
        <f t="shared" si="16"/>
        <v>2638.33</v>
      </c>
      <c r="O78" s="40">
        <f t="shared" si="16"/>
        <v>14000</v>
      </c>
      <c r="P78" s="40">
        <f>SUM(P3:P77)/2</f>
        <v>4389.04</v>
      </c>
      <c r="Q78" s="40">
        <f t="shared" si="16"/>
        <v>824.015</v>
      </c>
      <c r="R78" s="34">
        <f t="shared" si="12"/>
        <v>0</v>
      </c>
    </row>
    <row r="79" ht="12.75">
      <c r="R79" s="34">
        <f t="shared" si="12"/>
        <v>0</v>
      </c>
    </row>
    <row r="80" ht="12.75">
      <c r="E80" s="190"/>
    </row>
    <row r="81" spans="8:21" ht="12.75">
      <c r="H81" s="24"/>
      <c r="U81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D4">
      <selection activeCell="L33" sqref="L33"/>
    </sheetView>
  </sheetViews>
  <sheetFormatPr defaultColWidth="16.00390625" defaultRowHeight="12.75"/>
  <cols>
    <col min="1" max="1" width="12.00390625" style="0" hidden="1" customWidth="1"/>
    <col min="2" max="2" width="12.28125" style="0" hidden="1" customWidth="1"/>
    <col min="3" max="3" width="13.8515625" style="50" hidden="1" customWidth="1"/>
    <col min="4" max="4" width="53.140625" style="0" customWidth="1"/>
    <col min="5" max="5" width="20.421875" style="0" customWidth="1"/>
    <col min="6" max="6" width="14.8515625" style="0" customWidth="1"/>
    <col min="7" max="7" width="14.7109375" style="0" bestFit="1" customWidth="1"/>
    <col min="8" max="243" width="9.140625" style="0" customWidth="1"/>
    <col min="244" max="244" width="9.00390625" style="0" customWidth="1"/>
    <col min="245" max="245" width="37.28125" style="0" customWidth="1"/>
    <col min="246" max="246" width="3.7109375" style="0" customWidth="1"/>
    <col min="247" max="249" width="0" style="0" hidden="1" customWidth="1"/>
    <col min="250" max="250" width="3.8515625" style="0" customWidth="1"/>
    <col min="251" max="251" width="9.140625" style="0" customWidth="1"/>
    <col min="252" max="252" width="11.421875" style="0" customWidth="1"/>
    <col min="253" max="253" width="0" style="0" hidden="1" customWidth="1"/>
    <col min="254" max="254" width="11.00390625" style="0" customWidth="1"/>
    <col min="255" max="255" width="0" style="0" hidden="1" customWidth="1"/>
  </cols>
  <sheetData>
    <row r="1" spans="1:5" ht="15">
      <c r="A1" s="49" t="s">
        <v>222</v>
      </c>
      <c r="B1" s="49"/>
      <c r="D1" s="49" t="s">
        <v>237</v>
      </c>
      <c r="E1" s="49"/>
    </row>
    <row r="2" spans="1:5" ht="15">
      <c r="A2" s="51"/>
      <c r="B2" s="51"/>
      <c r="D2" s="51"/>
      <c r="E2" s="51"/>
    </row>
    <row r="3" spans="1:7" ht="15">
      <c r="A3" s="51"/>
      <c r="B3" s="51"/>
      <c r="D3" s="51"/>
      <c r="E3" s="51"/>
      <c r="F3" s="154">
        <f>F25/F4</f>
        <v>12.408590053274214</v>
      </c>
      <c r="G3" s="121">
        <f>G25/G4</f>
        <v>13.979278223123474</v>
      </c>
    </row>
    <row r="4" spans="1:9" ht="12.75">
      <c r="A4" s="52"/>
      <c r="B4" s="52"/>
      <c r="C4" s="53"/>
      <c r="D4" s="51"/>
      <c r="E4" s="51"/>
      <c r="F4">
        <v>302.21</v>
      </c>
      <c r="G4">
        <v>315.61</v>
      </c>
      <c r="I4" s="152"/>
    </row>
    <row r="5" spans="1:9" ht="15">
      <c r="A5" s="54" t="s">
        <v>223</v>
      </c>
      <c r="B5" s="54" t="s">
        <v>223</v>
      </c>
      <c r="C5" s="55" t="s">
        <v>224</v>
      </c>
      <c r="D5" s="56"/>
      <c r="E5" s="57" t="s">
        <v>224</v>
      </c>
      <c r="F5" s="58" t="s">
        <v>225</v>
      </c>
      <c r="G5" s="58" t="s">
        <v>393</v>
      </c>
      <c r="I5" s="152"/>
    </row>
    <row r="6" spans="1:9" ht="12.75">
      <c r="A6" s="54" t="s">
        <v>226</v>
      </c>
      <c r="B6" s="54" t="s">
        <v>227</v>
      </c>
      <c r="C6" s="59" t="s">
        <v>228</v>
      </c>
      <c r="D6" s="60" t="s">
        <v>229</v>
      </c>
      <c r="E6" s="60"/>
      <c r="F6" s="58">
        <v>2018.19</v>
      </c>
      <c r="G6" s="58"/>
      <c r="I6" s="152"/>
    </row>
    <row r="7" spans="1:9" ht="15">
      <c r="A7" s="61">
        <v>388</v>
      </c>
      <c r="B7" s="61">
        <v>582</v>
      </c>
      <c r="C7" s="62">
        <v>234</v>
      </c>
      <c r="D7" s="63" t="s">
        <v>244</v>
      </c>
      <c r="E7" s="64">
        <f>'2018.19 payments'!G$118</f>
        <v>6827.819999999998</v>
      </c>
      <c r="F7" s="65">
        <v>6200</v>
      </c>
      <c r="G7" s="63">
        <v>7700</v>
      </c>
      <c r="I7" s="153"/>
    </row>
    <row r="8" spans="1:9" ht="15">
      <c r="A8" s="61"/>
      <c r="B8" s="61"/>
      <c r="C8" s="62"/>
      <c r="D8" s="63" t="s">
        <v>230</v>
      </c>
      <c r="E8" s="64">
        <f>'2018.19 payments'!H118</f>
        <v>695.9499999999999</v>
      </c>
      <c r="F8" s="65">
        <v>800</v>
      </c>
      <c r="G8" s="63">
        <v>800</v>
      </c>
      <c r="I8" s="153"/>
    </row>
    <row r="9" spans="1:9" ht="15">
      <c r="A9" s="61">
        <v>1560</v>
      </c>
      <c r="B9" s="61">
        <v>1569</v>
      </c>
      <c r="C9" s="62">
        <v>1608.36</v>
      </c>
      <c r="D9" s="63" t="s">
        <v>21</v>
      </c>
      <c r="E9" s="64">
        <f>'2018.19 payments'!I118</f>
        <v>309.8</v>
      </c>
      <c r="F9" s="65">
        <v>250</v>
      </c>
      <c r="G9" s="63">
        <v>250</v>
      </c>
      <c r="I9" s="153"/>
    </row>
    <row r="10" spans="1:9" ht="15">
      <c r="A10" s="61">
        <v>1500</v>
      </c>
      <c r="B10" s="61">
        <v>1956</v>
      </c>
      <c r="C10" s="62">
        <v>1485</v>
      </c>
      <c r="D10" s="63" t="s">
        <v>235</v>
      </c>
      <c r="E10" s="64">
        <f>'2018.19 payments'!J118</f>
        <v>50</v>
      </c>
      <c r="F10" s="65">
        <v>0</v>
      </c>
      <c r="G10" s="63">
        <v>0</v>
      </c>
      <c r="I10" s="153"/>
    </row>
    <row r="11" spans="1:9" ht="15">
      <c r="A11" s="61">
        <v>3700</v>
      </c>
      <c r="B11" s="61">
        <v>2959</v>
      </c>
      <c r="C11" s="62">
        <v>2741.7200000000003</v>
      </c>
      <c r="D11" s="63" t="s">
        <v>11</v>
      </c>
      <c r="E11" s="64">
        <f>'2018.19 payments'!K118</f>
        <v>147.32</v>
      </c>
      <c r="F11" s="65">
        <v>0</v>
      </c>
      <c r="G11" s="63">
        <v>0</v>
      </c>
      <c r="I11" s="153"/>
    </row>
    <row r="12" spans="1:9" ht="15">
      <c r="A12" s="61"/>
      <c r="B12" s="61">
        <v>250</v>
      </c>
      <c r="C12" s="62">
        <v>282.79999999999995</v>
      </c>
      <c r="D12" s="66" t="s">
        <v>29</v>
      </c>
      <c r="E12" s="64">
        <f>'2018.19 payments'!L118</f>
        <v>877.86</v>
      </c>
      <c r="F12" s="65">
        <v>0</v>
      </c>
      <c r="G12" s="63">
        <v>450</v>
      </c>
      <c r="I12" s="153"/>
    </row>
    <row r="13" spans="1:9" ht="15">
      <c r="A13" s="61">
        <v>100</v>
      </c>
      <c r="B13" s="61">
        <v>105</v>
      </c>
      <c r="C13" s="62">
        <v>50</v>
      </c>
      <c r="D13" s="63" t="s">
        <v>37</v>
      </c>
      <c r="E13" s="64">
        <f>'2018.19 payments'!M118</f>
        <v>100</v>
      </c>
      <c r="F13" s="65">
        <v>0</v>
      </c>
      <c r="G13" s="63">
        <v>0</v>
      </c>
      <c r="I13" s="153"/>
    </row>
    <row r="14" spans="1:9" ht="15">
      <c r="A14" s="61">
        <v>951</v>
      </c>
      <c r="B14" s="61">
        <v>730</v>
      </c>
      <c r="C14" s="62">
        <v>724.62</v>
      </c>
      <c r="D14" s="63" t="s">
        <v>236</v>
      </c>
      <c r="E14" s="64">
        <f>'2018.19 payments'!O118</f>
        <v>83.1</v>
      </c>
      <c r="F14" s="65">
        <v>100</v>
      </c>
      <c r="G14" s="63">
        <v>100</v>
      </c>
      <c r="I14" s="153"/>
    </row>
    <row r="15" spans="1:9" ht="15">
      <c r="A15" s="61">
        <v>1456</v>
      </c>
      <c r="B15" s="61">
        <v>1437</v>
      </c>
      <c r="C15" s="62">
        <v>1560</v>
      </c>
      <c r="D15" s="63" t="s">
        <v>4</v>
      </c>
      <c r="E15" s="64">
        <f>'2018.19 payments'!N118</f>
        <v>1966.88</v>
      </c>
      <c r="F15" s="65">
        <v>1800</v>
      </c>
      <c r="G15" s="63">
        <v>1800</v>
      </c>
      <c r="I15" s="153"/>
    </row>
    <row r="16" spans="1:9" ht="15">
      <c r="A16" s="61">
        <v>150</v>
      </c>
      <c r="B16" s="61">
        <v>52</v>
      </c>
      <c r="C16" s="62">
        <v>85</v>
      </c>
      <c r="D16" s="63" t="s">
        <v>391</v>
      </c>
      <c r="E16" s="64">
        <f>'2018.19 payments'!P118</f>
        <v>678.4000000000001</v>
      </c>
      <c r="F16" s="65">
        <v>1000</v>
      </c>
      <c r="G16" s="63">
        <v>300</v>
      </c>
      <c r="I16" s="153"/>
    </row>
    <row r="17" spans="1:9" ht="15">
      <c r="A17" s="61">
        <v>800</v>
      </c>
      <c r="B17" s="61">
        <v>7900</v>
      </c>
      <c r="C17" s="62">
        <v>703</v>
      </c>
      <c r="D17" s="63"/>
      <c r="E17" s="64"/>
      <c r="F17" s="64"/>
      <c r="G17" s="65"/>
      <c r="I17" s="152"/>
    </row>
    <row r="18" spans="1:9" ht="15">
      <c r="A18" s="61">
        <v>350</v>
      </c>
      <c r="B18" s="61">
        <v>415</v>
      </c>
      <c r="C18" s="62">
        <v>265.91999999999996</v>
      </c>
      <c r="D18" s="63"/>
      <c r="E18" s="64"/>
      <c r="F18" s="64"/>
      <c r="G18" s="65"/>
      <c r="I18" s="152"/>
    </row>
    <row r="19" spans="1:9" ht="15">
      <c r="A19" s="61"/>
      <c r="B19" s="61"/>
      <c r="C19" s="62"/>
      <c r="D19" s="63"/>
      <c r="E19" s="64"/>
      <c r="F19" s="64"/>
      <c r="G19" s="150">
        <f>SUM(G7:G18)</f>
        <v>11400</v>
      </c>
      <c r="I19" s="152"/>
    </row>
    <row r="20" spans="1:9" ht="15">
      <c r="A20" s="61">
        <v>0</v>
      </c>
      <c r="B20" s="61">
        <v>0</v>
      </c>
      <c r="C20" s="62">
        <v>2000</v>
      </c>
      <c r="D20" s="67" t="s">
        <v>231</v>
      </c>
      <c r="E20" s="68"/>
      <c r="F20" s="68"/>
      <c r="G20" s="63"/>
      <c r="I20" s="152"/>
    </row>
    <row r="21" spans="1:9" ht="15">
      <c r="A21" s="61"/>
      <c r="B21" s="61"/>
      <c r="C21" s="62"/>
      <c r="D21" s="67" t="s">
        <v>232</v>
      </c>
      <c r="E21" s="68"/>
      <c r="F21" s="68"/>
      <c r="G21" s="69"/>
      <c r="I21" s="152"/>
    </row>
    <row r="22" spans="1:7" ht="12.75">
      <c r="A22" s="70">
        <f>SUM(A7:A18)</f>
        <v>10955</v>
      </c>
      <c r="B22" s="70">
        <v>20878</v>
      </c>
      <c r="C22" s="71">
        <v>13426.410000000002</v>
      </c>
      <c r="D22" s="60" t="s">
        <v>233</v>
      </c>
      <c r="E22" s="72">
        <f>SUM(E7:E21)</f>
        <v>11737.13</v>
      </c>
      <c r="F22" s="72">
        <f>SUM(F7:F21)</f>
        <v>10150</v>
      </c>
      <c r="G22" s="73">
        <f>G19</f>
        <v>11400</v>
      </c>
    </row>
    <row r="23" spans="1:7" ht="12.75">
      <c r="A23" s="70"/>
      <c r="B23" s="70"/>
      <c r="C23" s="71"/>
      <c r="D23" s="74"/>
      <c r="E23" s="75"/>
      <c r="F23" s="76"/>
      <c r="G23" s="73"/>
    </row>
    <row r="24" spans="1:7" ht="15">
      <c r="A24" s="61"/>
      <c r="B24" s="61"/>
      <c r="C24" s="62"/>
      <c r="D24" s="60" t="s">
        <v>234</v>
      </c>
      <c r="E24" s="64"/>
      <c r="F24" s="76"/>
      <c r="G24" s="77"/>
    </row>
    <row r="25" spans="1:8" ht="15">
      <c r="A25" s="61">
        <v>450</v>
      </c>
      <c r="B25" s="61">
        <v>517</v>
      </c>
      <c r="C25" s="62">
        <v>75</v>
      </c>
      <c r="D25" s="63" t="s">
        <v>3</v>
      </c>
      <c r="E25" s="64">
        <f>'2018.19 receipts'!G78</f>
        <v>0</v>
      </c>
      <c r="F25" s="65">
        <v>3750</v>
      </c>
      <c r="G25" s="63">
        <f>3750+662</f>
        <v>4412</v>
      </c>
      <c r="H25" s="151"/>
    </row>
    <row r="26" spans="1:9" ht="15">
      <c r="A26" s="61">
        <v>1300</v>
      </c>
      <c r="B26" s="61">
        <v>1863</v>
      </c>
      <c r="C26" s="62">
        <v>1122.4</v>
      </c>
      <c r="D26" s="63" t="s">
        <v>238</v>
      </c>
      <c r="E26" s="64">
        <f>'2018.19 receipts'!H78</f>
        <v>349</v>
      </c>
      <c r="F26" s="65">
        <v>302.21</v>
      </c>
      <c r="G26" s="63">
        <v>318</v>
      </c>
      <c r="H26" s="151"/>
      <c r="I26" s="151"/>
    </row>
    <row r="27" spans="1:7" ht="15">
      <c r="A27" s="61"/>
      <c r="B27" s="61"/>
      <c r="C27" s="62"/>
      <c r="D27" s="63" t="s">
        <v>243</v>
      </c>
      <c r="E27" s="64">
        <f>'2018.19 receipts'!I78</f>
        <v>3750</v>
      </c>
      <c r="F27" s="65">
        <v>3750</v>
      </c>
      <c r="G27" s="63">
        <v>4412</v>
      </c>
    </row>
    <row r="28" spans="1:7" ht="15">
      <c r="A28" s="61">
        <v>13500</v>
      </c>
      <c r="B28" s="61">
        <v>14500</v>
      </c>
      <c r="C28" s="62">
        <v>14000</v>
      </c>
      <c r="D28" s="63" t="s">
        <v>19</v>
      </c>
      <c r="E28" s="64">
        <f>'2018.19 receipts'!J78</f>
        <v>10.17</v>
      </c>
      <c r="F28" s="73">
        <v>8</v>
      </c>
      <c r="G28" s="63">
        <v>8</v>
      </c>
    </row>
    <row r="29" spans="1:7" ht="15">
      <c r="A29" s="61"/>
      <c r="B29" s="61"/>
      <c r="C29" s="62"/>
      <c r="D29" s="63" t="s">
        <v>239</v>
      </c>
      <c r="E29" s="64">
        <f>'2018.19 receipts'!K78</f>
        <v>0</v>
      </c>
      <c r="F29" s="73">
        <v>200</v>
      </c>
      <c r="G29" s="63">
        <v>200</v>
      </c>
    </row>
    <row r="30" spans="1:7" ht="15">
      <c r="A30" s="61">
        <v>500</v>
      </c>
      <c r="B30" s="61">
        <v>115</v>
      </c>
      <c r="C30" s="62">
        <v>95.9</v>
      </c>
      <c r="D30" s="63" t="s">
        <v>17</v>
      </c>
      <c r="E30" s="64">
        <f>'2018.19 receipts'!M78</f>
        <v>0</v>
      </c>
      <c r="F30" s="73">
        <v>350</v>
      </c>
      <c r="G30" s="63">
        <v>350</v>
      </c>
    </row>
    <row r="31" spans="1:7" ht="15">
      <c r="A31" s="61"/>
      <c r="B31" s="61"/>
      <c r="C31" s="62"/>
      <c r="D31" s="63" t="s">
        <v>11</v>
      </c>
      <c r="E31" s="64">
        <f>'2018.19 receipts'!N78</f>
        <v>0</v>
      </c>
      <c r="F31" s="73">
        <v>0</v>
      </c>
      <c r="G31" s="63">
        <v>100</v>
      </c>
    </row>
    <row r="32" spans="1:7" ht="15">
      <c r="A32" s="61"/>
      <c r="B32" s="61"/>
      <c r="C32" s="62"/>
      <c r="D32" s="63" t="s">
        <v>392</v>
      </c>
      <c r="E32" s="64">
        <f>'2018.19 receipts'!P78</f>
        <v>0</v>
      </c>
      <c r="F32" s="73">
        <v>0</v>
      </c>
      <c r="G32" s="63"/>
    </row>
    <row r="33" spans="1:7" ht="15">
      <c r="A33" s="61"/>
      <c r="B33" s="61"/>
      <c r="C33" s="62"/>
      <c r="D33" s="63" t="s">
        <v>240</v>
      </c>
      <c r="E33" s="64">
        <f>'2018.19 receipts'!Q78</f>
        <v>0</v>
      </c>
      <c r="F33" s="73">
        <v>1000</v>
      </c>
      <c r="G33" s="63">
        <v>200</v>
      </c>
    </row>
    <row r="34" spans="1:7" ht="15">
      <c r="A34" s="61"/>
      <c r="B34" s="61"/>
      <c r="C34" s="62"/>
      <c r="D34" s="63" t="s">
        <v>242</v>
      </c>
      <c r="E34" s="64">
        <f>'2018.19 receipts'!O78</f>
        <v>0</v>
      </c>
      <c r="F34" s="64"/>
      <c r="G34" s="73"/>
    </row>
    <row r="35" spans="1:7" ht="12.75">
      <c r="A35" s="70">
        <f>SUM(A25:A30)</f>
        <v>15750</v>
      </c>
      <c r="B35" s="70">
        <v>21396</v>
      </c>
      <c r="C35" s="71">
        <v>16739.43</v>
      </c>
      <c r="D35" s="60" t="s">
        <v>233</v>
      </c>
      <c r="E35" s="72">
        <f>SUM(E25:E34)</f>
        <v>10.17</v>
      </c>
      <c r="F35" s="72">
        <f>SUM(F25:F34)</f>
        <v>9360.21</v>
      </c>
      <c r="G35" s="73">
        <f>SUM(G25:G33)</f>
        <v>10000</v>
      </c>
    </row>
    <row r="36" spans="1:7" ht="15">
      <c r="A36" s="63"/>
      <c r="B36" s="63"/>
      <c r="C36" s="78"/>
      <c r="D36" s="74"/>
      <c r="E36" s="75"/>
      <c r="F36" s="76"/>
      <c r="G36" s="63"/>
    </row>
    <row r="37" spans="1:7" ht="15">
      <c r="A37" s="73">
        <v>8000</v>
      </c>
      <c r="B37" s="73">
        <v>10000</v>
      </c>
      <c r="C37" s="71">
        <v>12000</v>
      </c>
      <c r="D37" s="60"/>
      <c r="E37" s="79"/>
      <c r="F37" s="79"/>
      <c r="G37" s="69"/>
    </row>
    <row r="38" spans="1:7" ht="15">
      <c r="A38" s="63"/>
      <c r="B38" s="63"/>
      <c r="C38" s="78"/>
      <c r="D38" s="63"/>
      <c r="E38" s="64"/>
      <c r="F38" s="63"/>
      <c r="G38" s="63"/>
    </row>
    <row r="40" ht="15">
      <c r="D4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38"/>
  <sheetViews>
    <sheetView zoomScalePageLayoutView="0" workbookViewId="0" topLeftCell="A1">
      <pane xSplit="5" ySplit="12" topLeftCell="F3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N2" sqref="N2"/>
    </sheetView>
  </sheetViews>
  <sheetFormatPr defaultColWidth="9.140625" defaultRowHeight="12.75"/>
  <cols>
    <col min="1" max="1" width="15.28125" style="131" customWidth="1"/>
    <col min="2" max="2" width="8.28125" style="141" customWidth="1"/>
    <col min="3" max="3" width="7.421875" style="132" customWidth="1"/>
    <col min="4" max="4" width="17.28125" style="132" customWidth="1"/>
    <col min="5" max="5" width="22.57421875" style="132" customWidth="1"/>
    <col min="6" max="6" width="9.57421875" style="123" bestFit="1" customWidth="1"/>
    <col min="7" max="7" width="8.421875" style="123" customWidth="1"/>
    <col min="8" max="8" width="8.8515625" style="123" customWidth="1"/>
    <col min="9" max="9" width="12.28125" style="123" customWidth="1"/>
    <col min="10" max="10" width="12.00390625" style="123" customWidth="1"/>
    <col min="11" max="11" width="9.00390625" style="123" customWidth="1"/>
    <col min="12" max="12" width="10.421875" style="123" customWidth="1"/>
    <col min="13" max="14" width="11.57421875" style="123" bestFit="1" customWidth="1"/>
    <col min="15" max="15" width="8.28125" style="123" customWidth="1"/>
    <col min="16" max="16" width="9.140625" style="123" customWidth="1"/>
    <col min="17" max="17" width="9.140625" style="132" customWidth="1"/>
    <col min="18" max="18" width="11.28125" style="132" bestFit="1" customWidth="1"/>
    <col min="19" max="16384" width="9.140625" style="132" customWidth="1"/>
  </cols>
  <sheetData>
    <row r="1" spans="1:16" s="124" customFormat="1" ht="24" customHeight="1">
      <c r="A1" s="145" t="s">
        <v>177</v>
      </c>
      <c r="B1" s="146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s="127" customFormat="1" ht="12.75" customHeight="1">
      <c r="A2" s="126" t="s">
        <v>0</v>
      </c>
      <c r="B2" s="147" t="s">
        <v>8</v>
      </c>
      <c r="D2" s="127" t="s">
        <v>9</v>
      </c>
      <c r="E2" s="127" t="s">
        <v>10</v>
      </c>
      <c r="F2" s="128" t="s">
        <v>13</v>
      </c>
      <c r="G2" s="128" t="s">
        <v>20</v>
      </c>
      <c r="H2" s="128" t="s">
        <v>7</v>
      </c>
      <c r="I2" s="128" t="s">
        <v>21</v>
      </c>
      <c r="J2" s="128" t="s">
        <v>152</v>
      </c>
      <c r="K2" s="128" t="s">
        <v>11</v>
      </c>
      <c r="L2" s="128" t="s">
        <v>29</v>
      </c>
      <c r="M2" s="128" t="s">
        <v>37</v>
      </c>
      <c r="N2" s="128" t="s">
        <v>4</v>
      </c>
      <c r="O2" s="128" t="s">
        <v>36</v>
      </c>
      <c r="P2" s="128" t="s">
        <v>25</v>
      </c>
    </row>
    <row r="3" spans="1:16" s="127" customFormat="1" ht="12.75">
      <c r="A3" s="126"/>
      <c r="B3" s="147" t="s">
        <v>12</v>
      </c>
      <c r="C3" s="127" t="s">
        <v>15</v>
      </c>
      <c r="F3" s="128" t="s">
        <v>14</v>
      </c>
      <c r="G3" s="128"/>
      <c r="H3" s="128"/>
      <c r="I3" s="128"/>
      <c r="J3" s="128"/>
      <c r="K3" s="128"/>
      <c r="L3" s="128"/>
      <c r="M3" s="128"/>
      <c r="N3" s="128"/>
      <c r="O3" s="128"/>
      <c r="P3" s="128" t="s">
        <v>26</v>
      </c>
    </row>
    <row r="4" spans="1:16" s="127" customFormat="1" ht="12.75">
      <c r="A4" s="129" t="s">
        <v>178</v>
      </c>
      <c r="B4" s="147"/>
      <c r="E4" s="130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2:17" ht="12.75">
      <c r="B5" s="141" t="s">
        <v>183</v>
      </c>
      <c r="C5" s="132" t="s">
        <v>16</v>
      </c>
      <c r="D5" s="132" t="s">
        <v>69</v>
      </c>
      <c r="E5" s="133" t="s">
        <v>184</v>
      </c>
      <c r="F5" s="123">
        <v>88.02</v>
      </c>
      <c r="G5" s="123">
        <v>88.02</v>
      </c>
      <c r="Q5" s="132">
        <f aca="true" t="shared" si="0" ref="Q5:Q10">SUM(G5:P5)-F5</f>
        <v>0</v>
      </c>
    </row>
    <row r="6" spans="2:19" ht="15">
      <c r="B6" s="141" t="s">
        <v>68</v>
      </c>
      <c r="C6" s="132" t="s">
        <v>16</v>
      </c>
      <c r="D6" s="132" t="s">
        <v>65</v>
      </c>
      <c r="E6" s="133" t="s">
        <v>185</v>
      </c>
      <c r="F6" s="123">
        <v>10.8</v>
      </c>
      <c r="K6" s="123">
        <v>1.8</v>
      </c>
      <c r="O6" s="123">
        <f>10.8/1.2</f>
        <v>9.000000000000002</v>
      </c>
      <c r="Q6" s="132">
        <f t="shared" si="0"/>
        <v>0</v>
      </c>
      <c r="S6" s="134"/>
    </row>
    <row r="7" spans="1:19" ht="15">
      <c r="A7" s="131" t="s">
        <v>282</v>
      </c>
      <c r="B7" s="141" t="s">
        <v>186</v>
      </c>
      <c r="C7" s="132" t="s">
        <v>16</v>
      </c>
      <c r="D7" s="132" t="s">
        <v>187</v>
      </c>
      <c r="E7" s="133" t="s">
        <v>188</v>
      </c>
      <c r="F7" s="123">
        <v>100</v>
      </c>
      <c r="J7" s="123">
        <v>100</v>
      </c>
      <c r="Q7" s="132">
        <f t="shared" si="0"/>
        <v>0</v>
      </c>
      <c r="S7" s="134"/>
    </row>
    <row r="8" spans="1:19" ht="15">
      <c r="A8" s="131" t="s">
        <v>282</v>
      </c>
      <c r="B8" s="141" t="s">
        <v>189</v>
      </c>
      <c r="C8" s="132" t="s">
        <v>16</v>
      </c>
      <c r="D8" s="132" t="s">
        <v>199</v>
      </c>
      <c r="E8" s="133" t="s">
        <v>200</v>
      </c>
      <c r="F8" s="123">
        <v>455.18</v>
      </c>
      <c r="G8" s="123">
        <f>489-39.4-39.12</f>
        <v>410.48</v>
      </c>
      <c r="H8" s="123">
        <v>44.7</v>
      </c>
      <c r="Q8" s="132">
        <f t="shared" si="0"/>
        <v>0</v>
      </c>
      <c r="S8" s="134"/>
    </row>
    <row r="9" spans="1:19" ht="15">
      <c r="A9" s="131" t="s">
        <v>282</v>
      </c>
      <c r="B9" s="141" t="s">
        <v>190</v>
      </c>
      <c r="C9" s="132" t="s">
        <v>16</v>
      </c>
      <c r="D9" s="132" t="s">
        <v>84</v>
      </c>
      <c r="E9" s="133" t="s">
        <v>201</v>
      </c>
      <c r="F9" s="123">
        <v>6</v>
      </c>
      <c r="G9" s="123">
        <v>6</v>
      </c>
      <c r="Q9" s="132">
        <f t="shared" si="0"/>
        <v>0</v>
      </c>
      <c r="S9" s="134"/>
    </row>
    <row r="10" spans="1:19" ht="25.5">
      <c r="A10" s="131" t="s">
        <v>282</v>
      </c>
      <c r="B10" s="141" t="s">
        <v>191</v>
      </c>
      <c r="C10" s="132" t="s">
        <v>16</v>
      </c>
      <c r="D10" s="132" t="s">
        <v>202</v>
      </c>
      <c r="E10" s="133" t="s">
        <v>188</v>
      </c>
      <c r="F10" s="123">
        <v>150</v>
      </c>
      <c r="J10" s="123">
        <v>150</v>
      </c>
      <c r="Q10" s="132">
        <f t="shared" si="0"/>
        <v>0</v>
      </c>
      <c r="S10" s="134"/>
    </row>
    <row r="11" spans="1:19" ht="15">
      <c r="A11" s="131" t="s">
        <v>282</v>
      </c>
      <c r="B11" s="141" t="s">
        <v>192</v>
      </c>
      <c r="C11" s="132" t="s">
        <v>16</v>
      </c>
      <c r="D11" s="132" t="s">
        <v>203</v>
      </c>
      <c r="E11" s="133" t="s">
        <v>188</v>
      </c>
      <c r="F11" s="123">
        <v>50</v>
      </c>
      <c r="J11" s="123">
        <v>50</v>
      </c>
      <c r="Q11" s="132">
        <f aca="true" t="shared" si="1" ref="Q11:Q74">SUM(G11:P11)-F11</f>
        <v>0</v>
      </c>
      <c r="S11" s="134"/>
    </row>
    <row r="12" spans="1:17" ht="12.75">
      <c r="A12" s="131" t="s">
        <v>282</v>
      </c>
      <c r="B12" s="141" t="s">
        <v>193</v>
      </c>
      <c r="C12" s="132" t="s">
        <v>16</v>
      </c>
      <c r="D12" s="132" t="s">
        <v>204</v>
      </c>
      <c r="E12" s="133" t="s">
        <v>188</v>
      </c>
      <c r="F12" s="123">
        <v>50</v>
      </c>
      <c r="J12" s="123">
        <v>50</v>
      </c>
      <c r="Q12" s="132">
        <f t="shared" si="1"/>
        <v>0</v>
      </c>
    </row>
    <row r="13" spans="1:17" ht="25.5">
      <c r="A13" s="131" t="s">
        <v>282</v>
      </c>
      <c r="B13" s="141" t="s">
        <v>194</v>
      </c>
      <c r="C13" s="132" t="s">
        <v>16</v>
      </c>
      <c r="D13" s="132" t="s">
        <v>205</v>
      </c>
      <c r="E13" s="133" t="s">
        <v>188</v>
      </c>
      <c r="F13" s="123">
        <v>150</v>
      </c>
      <c r="J13" s="123">
        <v>150</v>
      </c>
      <c r="Q13" s="132">
        <f t="shared" si="1"/>
        <v>0</v>
      </c>
    </row>
    <row r="14" spans="1:17" ht="12.75">
      <c r="A14" s="131" t="s">
        <v>282</v>
      </c>
      <c r="B14" s="141" t="s">
        <v>195</v>
      </c>
      <c r="C14" s="132" t="s">
        <v>16</v>
      </c>
      <c r="D14" s="132" t="s">
        <v>206</v>
      </c>
      <c r="E14" s="133" t="s">
        <v>207</v>
      </c>
      <c r="F14" s="123">
        <v>95</v>
      </c>
      <c r="J14" s="123">
        <v>95</v>
      </c>
      <c r="Q14" s="132">
        <f t="shared" si="1"/>
        <v>0</v>
      </c>
    </row>
    <row r="15" spans="1:17" ht="25.5">
      <c r="A15" s="131" t="s">
        <v>282</v>
      </c>
      <c r="B15" s="141" t="s">
        <v>196</v>
      </c>
      <c r="C15" s="132" t="s">
        <v>16</v>
      </c>
      <c r="D15" s="132" t="s">
        <v>208</v>
      </c>
      <c r="E15" s="133" t="s">
        <v>188</v>
      </c>
      <c r="F15" s="123">
        <v>50</v>
      </c>
      <c r="J15" s="123">
        <v>50</v>
      </c>
      <c r="Q15" s="132">
        <f t="shared" si="1"/>
        <v>0</v>
      </c>
    </row>
    <row r="16" spans="1:17" ht="12.75">
      <c r="A16" s="131" t="s">
        <v>282</v>
      </c>
      <c r="B16" s="141" t="s">
        <v>197</v>
      </c>
      <c r="C16" s="132" t="s">
        <v>16</v>
      </c>
      <c r="D16" s="132" t="s">
        <v>209</v>
      </c>
      <c r="E16" s="133" t="s">
        <v>188</v>
      </c>
      <c r="F16" s="123">
        <v>850</v>
      </c>
      <c r="J16" s="123">
        <v>850</v>
      </c>
      <c r="Q16" s="132">
        <f t="shared" si="1"/>
        <v>0</v>
      </c>
    </row>
    <row r="17" spans="1:17" ht="12.75">
      <c r="A17" s="131" t="s">
        <v>282</v>
      </c>
      <c r="B17" s="141" t="s">
        <v>198</v>
      </c>
      <c r="C17" s="132" t="s">
        <v>16</v>
      </c>
      <c r="D17" s="132" t="s">
        <v>210</v>
      </c>
      <c r="E17" s="133" t="s">
        <v>211</v>
      </c>
      <c r="F17" s="123">
        <v>49.33</v>
      </c>
      <c r="I17" s="123">
        <v>49.33</v>
      </c>
      <c r="Q17" s="132">
        <f t="shared" si="1"/>
        <v>0</v>
      </c>
    </row>
    <row r="18" spans="2:19" s="135" customFormat="1" ht="12.75">
      <c r="B18" s="148"/>
      <c r="E18" s="135" t="s">
        <v>22</v>
      </c>
      <c r="F18" s="137">
        <f>SUM(F4:F17)</f>
        <v>2104.33</v>
      </c>
      <c r="G18" s="137">
        <f aca="true" t="shared" si="2" ref="G18:P18">SUM(G4:G17)</f>
        <v>504.5</v>
      </c>
      <c r="H18" s="137">
        <f t="shared" si="2"/>
        <v>44.7</v>
      </c>
      <c r="I18" s="137">
        <f t="shared" si="2"/>
        <v>49.33</v>
      </c>
      <c r="J18" s="137">
        <f t="shared" si="2"/>
        <v>1495</v>
      </c>
      <c r="K18" s="137">
        <f t="shared" si="2"/>
        <v>1.8</v>
      </c>
      <c r="L18" s="137">
        <f t="shared" si="2"/>
        <v>0</v>
      </c>
      <c r="M18" s="137">
        <f t="shared" si="2"/>
        <v>0</v>
      </c>
      <c r="N18" s="137">
        <f>SUM(N4:N17)</f>
        <v>0</v>
      </c>
      <c r="O18" s="137">
        <f t="shared" si="2"/>
        <v>9.000000000000002</v>
      </c>
      <c r="P18" s="137">
        <f t="shared" si="2"/>
        <v>0</v>
      </c>
      <c r="Q18" s="132">
        <f t="shared" si="1"/>
        <v>0</v>
      </c>
      <c r="S18" s="135">
        <f>F7+F10+F12+F25+F26+F27</f>
        <v>806.16</v>
      </c>
    </row>
    <row r="19" spans="1:17" s="135" customFormat="1" ht="12.75">
      <c r="A19" s="129" t="s">
        <v>23</v>
      </c>
      <c r="B19" s="148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2">
        <f t="shared" si="1"/>
        <v>0</v>
      </c>
    </row>
    <row r="20" spans="1:17" ht="12.75">
      <c r="A20" s="132"/>
      <c r="Q20" s="132">
        <f t="shared" si="1"/>
        <v>0</v>
      </c>
    </row>
    <row r="21" spans="2:20" ht="22.5">
      <c r="B21" s="141" t="s">
        <v>183</v>
      </c>
      <c r="C21" s="132" t="s">
        <v>16</v>
      </c>
      <c r="D21" s="132" t="s">
        <v>69</v>
      </c>
      <c r="E21" s="133" t="s">
        <v>184</v>
      </c>
      <c r="F21" s="123">
        <v>88.9</v>
      </c>
      <c r="G21" s="123">
        <v>88.9</v>
      </c>
      <c r="Q21" s="132">
        <f t="shared" si="1"/>
        <v>0</v>
      </c>
      <c r="T21" s="138" t="s">
        <v>298</v>
      </c>
    </row>
    <row r="22" spans="1:17" ht="12.75">
      <c r="A22" s="139" t="s">
        <v>281</v>
      </c>
      <c r="B22" s="149" t="s">
        <v>245</v>
      </c>
      <c r="C22" s="133" t="s">
        <v>16</v>
      </c>
      <c r="D22" s="133" t="s">
        <v>257</v>
      </c>
      <c r="E22" s="133" t="s">
        <v>258</v>
      </c>
      <c r="F22" s="140">
        <v>7740</v>
      </c>
      <c r="G22" s="140"/>
      <c r="H22" s="140"/>
      <c r="I22" s="140"/>
      <c r="J22" s="140"/>
      <c r="K22" s="140">
        <v>1290</v>
      </c>
      <c r="L22" s="140"/>
      <c r="M22" s="140"/>
      <c r="N22" s="140"/>
      <c r="O22" s="140"/>
      <c r="P22" s="140">
        <v>6450</v>
      </c>
      <c r="Q22" s="132">
        <f t="shared" si="1"/>
        <v>0</v>
      </c>
    </row>
    <row r="23" spans="1:17" ht="12.75" customHeight="1">
      <c r="A23" s="139" t="s">
        <v>281</v>
      </c>
      <c r="B23" s="149" t="s">
        <v>246</v>
      </c>
      <c r="C23" s="133" t="s">
        <v>16</v>
      </c>
      <c r="D23" s="133" t="s">
        <v>27</v>
      </c>
      <c r="E23" s="133" t="s">
        <v>247</v>
      </c>
      <c r="F23" s="140">
        <v>473.38</v>
      </c>
      <c r="G23" s="140">
        <f>493.9-40.2-39.51</f>
        <v>414.19</v>
      </c>
      <c r="H23" s="140">
        <v>59.19</v>
      </c>
      <c r="I23" s="140"/>
      <c r="J23" s="140"/>
      <c r="K23" s="140"/>
      <c r="L23" s="140"/>
      <c r="M23" s="140"/>
      <c r="N23" s="140"/>
      <c r="O23" s="140"/>
      <c r="P23" s="140"/>
      <c r="Q23" s="132">
        <f t="shared" si="1"/>
        <v>0</v>
      </c>
    </row>
    <row r="24" spans="1:17" ht="12.75" customHeight="1">
      <c r="A24" s="139" t="s">
        <v>281</v>
      </c>
      <c r="B24" s="149" t="s">
        <v>248</v>
      </c>
      <c r="C24" s="133" t="s">
        <v>16</v>
      </c>
      <c r="D24" s="133" t="s">
        <v>84</v>
      </c>
      <c r="E24" s="133" t="s">
        <v>96</v>
      </c>
      <c r="F24" s="140">
        <v>40.2</v>
      </c>
      <c r="G24" s="140">
        <v>40.2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32">
        <f t="shared" si="1"/>
        <v>0</v>
      </c>
    </row>
    <row r="25" spans="1:17" ht="25.5">
      <c r="A25" s="139" t="s">
        <v>281</v>
      </c>
      <c r="B25" s="141" t="s">
        <v>249</v>
      </c>
      <c r="C25" s="132" t="s">
        <v>16</v>
      </c>
      <c r="D25" s="132" t="s">
        <v>252</v>
      </c>
      <c r="E25" s="132" t="s">
        <v>253</v>
      </c>
      <c r="F25" s="123">
        <v>65.94</v>
      </c>
      <c r="K25" s="123">
        <v>10.99</v>
      </c>
      <c r="M25" s="123">
        <v>54.95</v>
      </c>
      <c r="Q25" s="132">
        <f t="shared" si="1"/>
        <v>0</v>
      </c>
    </row>
    <row r="26" spans="1:17" ht="12.75">
      <c r="A26" s="139" t="s">
        <v>281</v>
      </c>
      <c r="B26" s="141" t="s">
        <v>250</v>
      </c>
      <c r="C26" s="132" t="s">
        <v>16</v>
      </c>
      <c r="D26" s="132" t="s">
        <v>254</v>
      </c>
      <c r="E26" s="132" t="s">
        <v>255</v>
      </c>
      <c r="F26" s="123">
        <v>170.22</v>
      </c>
      <c r="I26" s="123">
        <v>170.22</v>
      </c>
      <c r="Q26" s="132">
        <f t="shared" si="1"/>
        <v>0</v>
      </c>
    </row>
    <row r="27" spans="1:17" ht="12.75">
      <c r="A27" s="139" t="s">
        <v>281</v>
      </c>
      <c r="B27" s="141" t="s">
        <v>251</v>
      </c>
      <c r="C27" s="132" t="s">
        <v>16</v>
      </c>
      <c r="D27" s="132" t="s">
        <v>256</v>
      </c>
      <c r="F27" s="123">
        <v>270</v>
      </c>
      <c r="M27" s="123">
        <v>270</v>
      </c>
      <c r="Q27" s="132">
        <f t="shared" si="1"/>
        <v>0</v>
      </c>
    </row>
    <row r="28" spans="1:17" ht="12.75">
      <c r="A28" s="132"/>
      <c r="Q28" s="132">
        <f t="shared" si="1"/>
        <v>0</v>
      </c>
    </row>
    <row r="29" spans="1:17" ht="12.75">
      <c r="A29" s="132"/>
      <c r="Q29" s="132">
        <f t="shared" si="1"/>
        <v>0</v>
      </c>
    </row>
    <row r="30" spans="5:17" ht="12.75">
      <c r="E30" s="133"/>
      <c r="Q30" s="132">
        <f t="shared" si="1"/>
        <v>0</v>
      </c>
    </row>
    <row r="31" spans="1:17" s="135" customFormat="1" ht="12.75">
      <c r="A31" s="129" t="s">
        <v>179</v>
      </c>
      <c r="B31" s="148"/>
      <c r="E31" s="135" t="s">
        <v>22</v>
      </c>
      <c r="F31" s="137">
        <f aca="true" t="shared" si="3" ref="F31:P31">SUM(F21:F30)</f>
        <v>8848.64</v>
      </c>
      <c r="G31" s="137">
        <f t="shared" si="3"/>
        <v>543.2900000000001</v>
      </c>
      <c r="H31" s="137">
        <f t="shared" si="3"/>
        <v>59.19</v>
      </c>
      <c r="I31" s="137">
        <f t="shared" si="3"/>
        <v>170.22</v>
      </c>
      <c r="J31" s="137">
        <f t="shared" si="3"/>
        <v>0</v>
      </c>
      <c r="K31" s="137">
        <f t="shared" si="3"/>
        <v>1300.99</v>
      </c>
      <c r="L31" s="137">
        <f t="shared" si="3"/>
        <v>0</v>
      </c>
      <c r="M31" s="137">
        <f t="shared" si="3"/>
        <v>324.95</v>
      </c>
      <c r="N31" s="137">
        <f t="shared" si="3"/>
        <v>0</v>
      </c>
      <c r="O31" s="137">
        <f t="shared" si="3"/>
        <v>0</v>
      </c>
      <c r="P31" s="137">
        <f t="shared" si="3"/>
        <v>6450</v>
      </c>
      <c r="Q31" s="132">
        <f t="shared" si="1"/>
        <v>0</v>
      </c>
    </row>
    <row r="32" spans="1:17" s="135" customFormat="1" ht="12.75">
      <c r="A32" s="129"/>
      <c r="B32" s="148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2">
        <f t="shared" si="1"/>
        <v>0</v>
      </c>
    </row>
    <row r="33" spans="1:17" ht="12.75">
      <c r="A33" s="132" t="s">
        <v>283</v>
      </c>
      <c r="B33" s="141" t="s">
        <v>183</v>
      </c>
      <c r="C33" s="132" t="s">
        <v>16</v>
      </c>
      <c r="D33" s="132" t="s">
        <v>285</v>
      </c>
      <c r="E33" s="133" t="s">
        <v>286</v>
      </c>
      <c r="F33" s="123">
        <v>91.71</v>
      </c>
      <c r="G33" s="123">
        <v>91.71</v>
      </c>
      <c r="Q33" s="132">
        <f t="shared" si="1"/>
        <v>0</v>
      </c>
    </row>
    <row r="34" spans="1:18" ht="12.75">
      <c r="A34" s="132" t="s">
        <v>283</v>
      </c>
      <c r="B34" s="141" t="s">
        <v>284</v>
      </c>
      <c r="C34" s="132" t="s">
        <v>16</v>
      </c>
      <c r="D34" s="132" t="s">
        <v>65</v>
      </c>
      <c r="E34" s="133" t="s">
        <v>287</v>
      </c>
      <c r="F34" s="123">
        <v>19.8</v>
      </c>
      <c r="K34" s="123">
        <v>3.3</v>
      </c>
      <c r="O34" s="123">
        <v>16.5</v>
      </c>
      <c r="Q34" s="132">
        <f t="shared" si="1"/>
        <v>0</v>
      </c>
      <c r="R34" s="132">
        <f>F37+F35+F27</f>
        <v>857.47</v>
      </c>
    </row>
    <row r="35" spans="1:17" ht="12.75">
      <c r="A35" s="132" t="s">
        <v>283</v>
      </c>
      <c r="B35" s="141">
        <v>744</v>
      </c>
      <c r="C35" s="132" t="s">
        <v>16</v>
      </c>
      <c r="D35" s="132" t="s">
        <v>20</v>
      </c>
      <c r="E35" s="133" t="s">
        <v>98</v>
      </c>
      <c r="F35" s="123">
        <v>522.47</v>
      </c>
      <c r="G35" s="123">
        <f>509.48-40.76-4.8</f>
        <v>463.92</v>
      </c>
      <c r="H35" s="123">
        <v>58.55</v>
      </c>
      <c r="Q35" s="132">
        <f t="shared" si="1"/>
        <v>0</v>
      </c>
    </row>
    <row r="36" spans="1:17" ht="12.75">
      <c r="A36" s="132" t="s">
        <v>283</v>
      </c>
      <c r="B36" s="141">
        <v>745</v>
      </c>
      <c r="C36" s="132" t="s">
        <v>16</v>
      </c>
      <c r="D36" s="132" t="s">
        <v>84</v>
      </c>
      <c r="E36" s="133" t="s">
        <v>139</v>
      </c>
      <c r="F36" s="123">
        <v>4.8</v>
      </c>
      <c r="G36" s="123">
        <v>4.8</v>
      </c>
      <c r="Q36" s="132">
        <f t="shared" si="1"/>
        <v>0</v>
      </c>
    </row>
    <row r="37" spans="1:17" ht="12.75">
      <c r="A37" s="132" t="s">
        <v>283</v>
      </c>
      <c r="B37" s="141">
        <v>746</v>
      </c>
      <c r="C37" s="132" t="s">
        <v>16</v>
      </c>
      <c r="D37" s="132" t="s">
        <v>288</v>
      </c>
      <c r="E37" s="133" t="s">
        <v>289</v>
      </c>
      <c r="F37" s="123">
        <v>65</v>
      </c>
      <c r="P37" s="123">
        <v>65</v>
      </c>
      <c r="Q37" s="132">
        <f t="shared" si="1"/>
        <v>0</v>
      </c>
    </row>
    <row r="38" spans="2:17" ht="38.25">
      <c r="B38" s="141">
        <v>730</v>
      </c>
      <c r="C38" s="132" t="s">
        <v>16</v>
      </c>
      <c r="D38" s="132" t="s">
        <v>299</v>
      </c>
      <c r="F38" s="132">
        <v>50</v>
      </c>
      <c r="G38" s="132"/>
      <c r="H38" s="132"/>
      <c r="I38" s="132"/>
      <c r="J38" s="132">
        <v>50</v>
      </c>
      <c r="K38" s="132"/>
      <c r="L38" s="132"/>
      <c r="M38" s="132"/>
      <c r="N38" s="132"/>
      <c r="O38" s="132"/>
      <c r="P38" s="132"/>
      <c r="Q38" s="132">
        <f t="shared" si="1"/>
        <v>0</v>
      </c>
    </row>
    <row r="39" ht="12.75">
      <c r="Q39" s="132">
        <f t="shared" si="1"/>
        <v>0</v>
      </c>
    </row>
    <row r="40" spans="1:21" s="135" customFormat="1" ht="15">
      <c r="A40" s="129" t="s">
        <v>180</v>
      </c>
      <c r="B40" s="148"/>
      <c r="E40" s="135" t="s">
        <v>22</v>
      </c>
      <c r="F40" s="137">
        <f aca="true" t="shared" si="4" ref="F40:P40">SUM(F33:F38)</f>
        <v>753.78</v>
      </c>
      <c r="G40" s="137">
        <f t="shared" si="4"/>
        <v>560.43</v>
      </c>
      <c r="H40" s="137">
        <f t="shared" si="4"/>
        <v>58.55</v>
      </c>
      <c r="I40" s="137">
        <f t="shared" si="4"/>
        <v>0</v>
      </c>
      <c r="J40" s="137">
        <f t="shared" si="4"/>
        <v>50</v>
      </c>
      <c r="K40" s="137">
        <f t="shared" si="4"/>
        <v>3.3</v>
      </c>
      <c r="L40" s="137">
        <f t="shared" si="4"/>
        <v>0</v>
      </c>
      <c r="M40" s="137">
        <f t="shared" si="4"/>
        <v>0</v>
      </c>
      <c r="N40" s="137">
        <f t="shared" si="4"/>
        <v>0</v>
      </c>
      <c r="O40" s="137">
        <f t="shared" si="4"/>
        <v>16.5</v>
      </c>
      <c r="P40" s="137">
        <f t="shared" si="4"/>
        <v>65</v>
      </c>
      <c r="Q40" s="132">
        <f t="shared" si="1"/>
        <v>0</v>
      </c>
      <c r="U40" s="134"/>
    </row>
    <row r="41" spans="1:21" s="135" customFormat="1" ht="15">
      <c r="A41" s="129"/>
      <c r="B41" s="148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2">
        <f t="shared" si="1"/>
        <v>0</v>
      </c>
      <c r="U41" s="134"/>
    </row>
    <row r="42" spans="1:21" ht="15">
      <c r="A42" s="131" t="s">
        <v>290</v>
      </c>
      <c r="B42" s="141" t="s">
        <v>183</v>
      </c>
      <c r="C42" s="132" t="s">
        <v>16</v>
      </c>
      <c r="D42" s="132" t="s">
        <v>285</v>
      </c>
      <c r="E42" s="132" t="s">
        <v>286</v>
      </c>
      <c r="F42" s="123">
        <v>91.71</v>
      </c>
      <c r="G42" s="123">
        <v>91.71</v>
      </c>
      <c r="Q42" s="132">
        <f t="shared" si="1"/>
        <v>0</v>
      </c>
      <c r="U42" s="134"/>
    </row>
    <row r="43" spans="1:21" ht="15">
      <c r="A43" s="131" t="s">
        <v>290</v>
      </c>
      <c r="B43" s="141" t="s">
        <v>284</v>
      </c>
      <c r="C43" s="132" t="s">
        <v>16</v>
      </c>
      <c r="D43" s="132" t="s">
        <v>65</v>
      </c>
      <c r="E43" s="132" t="s">
        <v>36</v>
      </c>
      <c r="F43" s="123">
        <v>12.6</v>
      </c>
      <c r="K43" s="123">
        <v>2.1</v>
      </c>
      <c r="O43" s="123">
        <v>10.5</v>
      </c>
      <c r="Q43" s="132">
        <f t="shared" si="1"/>
        <v>0</v>
      </c>
      <c r="U43" s="134"/>
    </row>
    <row r="44" spans="1:21" ht="38.25">
      <c r="A44" s="131" t="s">
        <v>290</v>
      </c>
      <c r="B44" s="141" t="s">
        <v>338</v>
      </c>
      <c r="D44" s="132" t="s">
        <v>61</v>
      </c>
      <c r="E44" s="132" t="s">
        <v>291</v>
      </c>
      <c r="F44" s="123">
        <v>648.96</v>
      </c>
      <c r="K44" s="123">
        <v>108.16</v>
      </c>
      <c r="L44" s="123">
        <v>540.8</v>
      </c>
      <c r="Q44" s="132">
        <f t="shared" si="1"/>
        <v>0</v>
      </c>
      <c r="U44" s="134"/>
    </row>
    <row r="45" spans="1:21" ht="15">
      <c r="A45" s="131" t="s">
        <v>290</v>
      </c>
      <c r="B45" s="141">
        <v>747</v>
      </c>
      <c r="C45" s="132" t="s">
        <v>16</v>
      </c>
      <c r="D45" s="132" t="s">
        <v>27</v>
      </c>
      <c r="E45" s="132" t="s">
        <v>98</v>
      </c>
      <c r="F45" s="123">
        <v>490.31</v>
      </c>
      <c r="G45" s="123">
        <f>509.48-43.4-40.76</f>
        <v>425.32000000000005</v>
      </c>
      <c r="H45" s="123">
        <v>64.99</v>
      </c>
      <c r="Q45" s="132">
        <f t="shared" si="1"/>
        <v>0</v>
      </c>
      <c r="U45" s="134"/>
    </row>
    <row r="46" spans="1:21" ht="15">
      <c r="A46" s="131" t="s">
        <v>290</v>
      </c>
      <c r="B46" s="141">
        <v>748</v>
      </c>
      <c r="C46" s="132" t="s">
        <v>16</v>
      </c>
      <c r="D46" s="132" t="s">
        <v>84</v>
      </c>
      <c r="E46" s="132" t="s">
        <v>292</v>
      </c>
      <c r="F46" s="123">
        <v>43.4</v>
      </c>
      <c r="G46" s="123">
        <v>43.4</v>
      </c>
      <c r="Q46" s="132">
        <f t="shared" si="1"/>
        <v>0</v>
      </c>
      <c r="U46" s="134"/>
    </row>
    <row r="47" spans="1:17" ht="12.75">
      <c r="A47" s="131" t="s">
        <v>290</v>
      </c>
      <c r="B47" s="141">
        <v>749</v>
      </c>
      <c r="C47" s="132" t="s">
        <v>16</v>
      </c>
      <c r="D47" s="132" t="s">
        <v>86</v>
      </c>
      <c r="E47" s="132" t="s">
        <v>293</v>
      </c>
      <c r="F47" s="123">
        <v>120</v>
      </c>
      <c r="K47" s="123">
        <v>20</v>
      </c>
      <c r="P47" s="123">
        <v>100</v>
      </c>
      <c r="Q47" s="132">
        <f t="shared" si="1"/>
        <v>0</v>
      </c>
    </row>
    <row r="48" ht="12.75">
      <c r="Q48" s="132">
        <f t="shared" si="1"/>
        <v>0</v>
      </c>
    </row>
    <row r="49" spans="17:18" ht="12.75">
      <c r="Q49" s="132">
        <f t="shared" si="1"/>
        <v>0</v>
      </c>
      <c r="R49" s="132">
        <f>F37+F44+F45+F46+F47</f>
        <v>1367.67</v>
      </c>
    </row>
    <row r="50" ht="12.75">
      <c r="Q50" s="132">
        <f t="shared" si="1"/>
        <v>0</v>
      </c>
    </row>
    <row r="51" spans="1:17" ht="12.75">
      <c r="A51" s="129" t="s">
        <v>181</v>
      </c>
      <c r="B51" s="148"/>
      <c r="C51" s="135"/>
      <c r="D51" s="135"/>
      <c r="E51" s="135" t="s">
        <v>22</v>
      </c>
      <c r="F51" s="137">
        <f>SUM(F42:F49)</f>
        <v>1406.98</v>
      </c>
      <c r="G51" s="137">
        <f aca="true" t="shared" si="5" ref="G51:P51">SUM(G42:G49)</f>
        <v>560.4300000000001</v>
      </c>
      <c r="H51" s="137">
        <f t="shared" si="5"/>
        <v>64.99</v>
      </c>
      <c r="I51" s="137">
        <f t="shared" si="5"/>
        <v>0</v>
      </c>
      <c r="J51" s="137">
        <f t="shared" si="5"/>
        <v>0</v>
      </c>
      <c r="K51" s="137">
        <f t="shared" si="5"/>
        <v>130.26</v>
      </c>
      <c r="L51" s="137">
        <f t="shared" si="5"/>
        <v>540.8</v>
      </c>
      <c r="M51" s="137">
        <f t="shared" si="5"/>
        <v>0</v>
      </c>
      <c r="N51" s="137">
        <f t="shared" si="5"/>
        <v>0</v>
      </c>
      <c r="O51" s="137">
        <f t="shared" si="5"/>
        <v>10.5</v>
      </c>
      <c r="P51" s="137">
        <f t="shared" si="5"/>
        <v>100</v>
      </c>
      <c r="Q51" s="132">
        <f t="shared" si="1"/>
        <v>0</v>
      </c>
    </row>
    <row r="52" spans="1:21" s="135" customFormat="1" ht="15">
      <c r="A52" s="129"/>
      <c r="B52" s="148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2">
        <f t="shared" si="1"/>
        <v>0</v>
      </c>
      <c r="U52" s="134"/>
    </row>
    <row r="53" spans="1:21" ht="15">
      <c r="A53" s="131" t="s">
        <v>320</v>
      </c>
      <c r="B53" s="141" t="s">
        <v>183</v>
      </c>
      <c r="C53" s="132" t="s">
        <v>16</v>
      </c>
      <c r="D53" s="132" t="s">
        <v>69</v>
      </c>
      <c r="E53" s="132" t="s">
        <v>184</v>
      </c>
      <c r="F53" s="123">
        <v>91.71</v>
      </c>
      <c r="G53" s="123">
        <v>91.71</v>
      </c>
      <c r="Q53" s="132">
        <f t="shared" si="1"/>
        <v>0</v>
      </c>
      <c r="U53" s="134"/>
    </row>
    <row r="54" spans="1:21" ht="15">
      <c r="A54" s="131" t="s">
        <v>321</v>
      </c>
      <c r="B54" s="141" t="s">
        <v>183</v>
      </c>
      <c r="C54" s="132" t="s">
        <v>16</v>
      </c>
      <c r="D54" s="132" t="s">
        <v>65</v>
      </c>
      <c r="E54" s="132" t="s">
        <v>36</v>
      </c>
      <c r="F54" s="123">
        <v>26.28</v>
      </c>
      <c r="K54" s="123">
        <v>4.38</v>
      </c>
      <c r="O54" s="123">
        <v>21.9</v>
      </c>
      <c r="Q54" s="132">
        <f t="shared" si="1"/>
        <v>0</v>
      </c>
      <c r="U54" s="134"/>
    </row>
    <row r="55" spans="1:255" ht="38.25">
      <c r="A55" s="129" t="s">
        <v>112</v>
      </c>
      <c r="B55" s="148"/>
      <c r="C55" s="135"/>
      <c r="D55" s="135"/>
      <c r="E55" s="135" t="s">
        <v>22</v>
      </c>
      <c r="F55" s="137">
        <f aca="true" t="shared" si="6" ref="F55:P55">SUM(F53:F54)</f>
        <v>117.99</v>
      </c>
      <c r="G55" s="137">
        <f t="shared" si="6"/>
        <v>91.71</v>
      </c>
      <c r="H55" s="137">
        <f t="shared" si="6"/>
        <v>0</v>
      </c>
      <c r="I55" s="137">
        <f t="shared" si="6"/>
        <v>0</v>
      </c>
      <c r="J55" s="137">
        <f t="shared" si="6"/>
        <v>0</v>
      </c>
      <c r="K55" s="137">
        <f t="shared" si="6"/>
        <v>4.38</v>
      </c>
      <c r="L55" s="137">
        <f t="shared" si="6"/>
        <v>0</v>
      </c>
      <c r="M55" s="137">
        <f t="shared" si="6"/>
        <v>0</v>
      </c>
      <c r="N55" s="137">
        <f t="shared" si="6"/>
        <v>0</v>
      </c>
      <c r="O55" s="137">
        <f t="shared" si="6"/>
        <v>21.9</v>
      </c>
      <c r="P55" s="137">
        <f t="shared" si="6"/>
        <v>0</v>
      </c>
      <c r="Q55" s="132">
        <f t="shared" si="1"/>
        <v>0</v>
      </c>
      <c r="R55" s="129"/>
      <c r="S55" s="134"/>
      <c r="T55" s="135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F55" s="129"/>
      <c r="AG55" s="136"/>
      <c r="AH55" s="135"/>
      <c r="AI55" s="135"/>
      <c r="AJ55" s="135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V55" s="129"/>
      <c r="AW55" s="136"/>
      <c r="AX55" s="135"/>
      <c r="AY55" s="135"/>
      <c r="AZ55" s="135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L55" s="129"/>
      <c r="BM55" s="136"/>
      <c r="BN55" s="135"/>
      <c r="BO55" s="135"/>
      <c r="BP55" s="135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B55" s="129"/>
      <c r="CC55" s="136"/>
      <c r="CD55" s="135"/>
      <c r="CE55" s="135"/>
      <c r="CF55" s="135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R55" s="129"/>
      <c r="CS55" s="136"/>
      <c r="CT55" s="135"/>
      <c r="CU55" s="135"/>
      <c r="CV55" s="135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H55" s="129"/>
      <c r="DI55" s="136"/>
      <c r="DJ55" s="135"/>
      <c r="DK55" s="135"/>
      <c r="DL55" s="135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X55" s="129"/>
      <c r="DY55" s="136"/>
      <c r="DZ55" s="135"/>
      <c r="EA55" s="135"/>
      <c r="EB55" s="135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N55" s="129"/>
      <c r="EO55" s="136"/>
      <c r="EP55" s="135"/>
      <c r="EQ55" s="135"/>
      <c r="ER55" s="135"/>
      <c r="ES55" s="137">
        <f>SUM(ES49:ES51)</f>
        <v>0</v>
      </c>
      <c r="ET55" s="137">
        <f aca="true" t="shared" si="7" ref="ET55:FA55">SUM(ET49:ET58)</f>
        <v>332.52</v>
      </c>
      <c r="EU55" s="137">
        <f t="shared" si="7"/>
        <v>111.36</v>
      </c>
      <c r="EV55" s="137">
        <f t="shared" si="7"/>
        <v>0</v>
      </c>
      <c r="EW55" s="137">
        <f t="shared" si="7"/>
        <v>0</v>
      </c>
      <c r="EX55" s="137">
        <f t="shared" si="7"/>
        <v>240.34</v>
      </c>
      <c r="EY55" s="137">
        <f t="shared" si="7"/>
        <v>0</v>
      </c>
      <c r="EZ55" s="137">
        <f t="shared" si="7"/>
        <v>90</v>
      </c>
      <c r="FA55" s="137">
        <f t="shared" si="7"/>
        <v>11.7</v>
      </c>
      <c r="FB55" s="137">
        <f>SUM(FB49:FB51)</f>
        <v>0</v>
      </c>
      <c r="FC55" s="132">
        <f>SUM(ET59:FB59)-ES59</f>
        <v>0</v>
      </c>
      <c r="FD55" s="129" t="s">
        <v>38</v>
      </c>
      <c r="FE55" s="136"/>
      <c r="FF55" s="135"/>
      <c r="FG55" s="135"/>
      <c r="FH55" s="135" t="s">
        <v>22</v>
      </c>
      <c r="FI55" s="137">
        <f>SUM(FI49:FI51)</f>
        <v>0</v>
      </c>
      <c r="FJ55" s="137">
        <f aca="true" t="shared" si="8" ref="FJ55:FQ55">SUM(FJ49:FJ58)</f>
        <v>332.52</v>
      </c>
      <c r="FK55" s="137">
        <f t="shared" si="8"/>
        <v>111.36</v>
      </c>
      <c r="FL55" s="137">
        <f t="shared" si="8"/>
        <v>0</v>
      </c>
      <c r="FM55" s="137">
        <f t="shared" si="8"/>
        <v>0</v>
      </c>
      <c r="FN55" s="137">
        <f t="shared" si="8"/>
        <v>240.34</v>
      </c>
      <c r="FO55" s="137">
        <f t="shared" si="8"/>
        <v>0</v>
      </c>
      <c r="FP55" s="137">
        <f t="shared" si="8"/>
        <v>90</v>
      </c>
      <c r="FQ55" s="137">
        <f t="shared" si="8"/>
        <v>11.7</v>
      </c>
      <c r="FR55" s="137">
        <f>SUM(FR49:FR51)</f>
        <v>0</v>
      </c>
      <c r="FS55" s="132">
        <f>SUM(FJ59:FR59)-FI59</f>
        <v>0</v>
      </c>
      <c r="FT55" s="129" t="s">
        <v>38</v>
      </c>
      <c r="FU55" s="136"/>
      <c r="FV55" s="135"/>
      <c r="FW55" s="135"/>
      <c r="FX55" s="135" t="s">
        <v>22</v>
      </c>
      <c r="FY55" s="137">
        <f>SUM(FY49:FY51)</f>
        <v>0</v>
      </c>
      <c r="FZ55" s="137">
        <f aca="true" t="shared" si="9" ref="FZ55:GG55">SUM(FZ49:FZ58)</f>
        <v>332.52</v>
      </c>
      <c r="GA55" s="137">
        <f t="shared" si="9"/>
        <v>111.36</v>
      </c>
      <c r="GB55" s="137">
        <f t="shared" si="9"/>
        <v>0</v>
      </c>
      <c r="GC55" s="137">
        <f t="shared" si="9"/>
        <v>0</v>
      </c>
      <c r="GD55" s="137">
        <f t="shared" si="9"/>
        <v>240.34</v>
      </c>
      <c r="GE55" s="137">
        <f t="shared" si="9"/>
        <v>0</v>
      </c>
      <c r="GF55" s="137">
        <f t="shared" si="9"/>
        <v>90</v>
      </c>
      <c r="GG55" s="137">
        <f t="shared" si="9"/>
        <v>11.7</v>
      </c>
      <c r="GH55" s="137">
        <f>SUM(GH49:GH51)</f>
        <v>0</v>
      </c>
      <c r="GI55" s="132">
        <f>SUM(FZ59:GH59)-FY59</f>
        <v>0</v>
      </c>
      <c r="GJ55" s="129" t="s">
        <v>38</v>
      </c>
      <c r="GK55" s="136"/>
      <c r="GL55" s="135"/>
      <c r="GM55" s="135"/>
      <c r="GN55" s="135" t="s">
        <v>22</v>
      </c>
      <c r="GO55" s="137">
        <f>SUM(GO49:GO51)</f>
        <v>0</v>
      </c>
      <c r="GP55" s="137">
        <f aca="true" t="shared" si="10" ref="GP55:GW55">SUM(GP49:GP58)</f>
        <v>332.52</v>
      </c>
      <c r="GQ55" s="137">
        <f t="shared" si="10"/>
        <v>111.36</v>
      </c>
      <c r="GR55" s="137">
        <f t="shared" si="10"/>
        <v>0</v>
      </c>
      <c r="GS55" s="137">
        <f t="shared" si="10"/>
        <v>0</v>
      </c>
      <c r="GT55" s="137">
        <f t="shared" si="10"/>
        <v>240.34</v>
      </c>
      <c r="GU55" s="137">
        <f t="shared" si="10"/>
        <v>0</v>
      </c>
      <c r="GV55" s="137">
        <f t="shared" si="10"/>
        <v>90</v>
      </c>
      <c r="GW55" s="137">
        <f t="shared" si="10"/>
        <v>11.7</v>
      </c>
      <c r="GX55" s="137">
        <f>SUM(GX49:GX51)</f>
        <v>0</v>
      </c>
      <c r="GY55" s="132">
        <f>SUM(GP59:GX59)-GO59</f>
        <v>0</v>
      </c>
      <c r="GZ55" s="129" t="s">
        <v>38</v>
      </c>
      <c r="HA55" s="136"/>
      <c r="HB55" s="135"/>
      <c r="HC55" s="135"/>
      <c r="HD55" s="135" t="s">
        <v>22</v>
      </c>
      <c r="HE55" s="137">
        <f>SUM(HE49:HE51)</f>
        <v>0</v>
      </c>
      <c r="HF55" s="137">
        <f aca="true" t="shared" si="11" ref="HF55:HM55">SUM(HF49:HF58)</f>
        <v>332.52</v>
      </c>
      <c r="HG55" s="137">
        <f t="shared" si="11"/>
        <v>111.36</v>
      </c>
      <c r="HH55" s="137">
        <f t="shared" si="11"/>
        <v>0</v>
      </c>
      <c r="HI55" s="137">
        <f t="shared" si="11"/>
        <v>0</v>
      </c>
      <c r="HJ55" s="137">
        <f t="shared" si="11"/>
        <v>240.34</v>
      </c>
      <c r="HK55" s="137">
        <f t="shared" si="11"/>
        <v>0</v>
      </c>
      <c r="HL55" s="137">
        <f t="shared" si="11"/>
        <v>90</v>
      </c>
      <c r="HM55" s="137">
        <f t="shared" si="11"/>
        <v>11.7</v>
      </c>
      <c r="HN55" s="137">
        <f>SUM(HN49:HN51)</f>
        <v>0</v>
      </c>
      <c r="HO55" s="132">
        <f>SUM(HF59:HN59)-HE59</f>
        <v>0</v>
      </c>
      <c r="HP55" s="129" t="s">
        <v>38</v>
      </c>
      <c r="HQ55" s="136"/>
      <c r="HR55" s="135"/>
      <c r="HS55" s="135"/>
      <c r="HT55" s="135" t="s">
        <v>22</v>
      </c>
      <c r="HU55" s="137">
        <f>SUM(HU49:HU51)</f>
        <v>0</v>
      </c>
      <c r="HV55" s="137">
        <f aca="true" t="shared" si="12" ref="HV55:IC55">SUM(HV49:HV58)</f>
        <v>332.52</v>
      </c>
      <c r="HW55" s="137">
        <f t="shared" si="12"/>
        <v>111.36</v>
      </c>
      <c r="HX55" s="137">
        <f t="shared" si="12"/>
        <v>0</v>
      </c>
      <c r="HY55" s="137">
        <f t="shared" si="12"/>
        <v>0</v>
      </c>
      <c r="HZ55" s="137">
        <f t="shared" si="12"/>
        <v>240.34</v>
      </c>
      <c r="IA55" s="137">
        <f t="shared" si="12"/>
        <v>0</v>
      </c>
      <c r="IB55" s="137">
        <f t="shared" si="12"/>
        <v>90</v>
      </c>
      <c r="IC55" s="137">
        <f t="shared" si="12"/>
        <v>11.7</v>
      </c>
      <c r="ID55" s="137">
        <f>SUM(ID49:ID51)</f>
        <v>0</v>
      </c>
      <c r="IE55" s="132">
        <f>SUM(HV59:ID59)-HU59</f>
        <v>0</v>
      </c>
      <c r="IF55" s="129" t="s">
        <v>38</v>
      </c>
      <c r="IG55" s="136"/>
      <c r="IH55" s="135"/>
      <c r="II55" s="135"/>
      <c r="IJ55" s="135" t="s">
        <v>22</v>
      </c>
      <c r="IK55" s="137">
        <f>SUM(IK49:IK51)</f>
        <v>0</v>
      </c>
      <c r="IL55" s="137">
        <f aca="true" t="shared" si="13" ref="IL55:IS55">SUM(IL49:IL58)</f>
        <v>332.52</v>
      </c>
      <c r="IM55" s="137">
        <f t="shared" si="13"/>
        <v>111.36</v>
      </c>
      <c r="IN55" s="137">
        <f t="shared" si="13"/>
        <v>0</v>
      </c>
      <c r="IO55" s="137">
        <f t="shared" si="13"/>
        <v>0</v>
      </c>
      <c r="IP55" s="137">
        <f t="shared" si="13"/>
        <v>240.34</v>
      </c>
      <c r="IQ55" s="137">
        <f t="shared" si="13"/>
        <v>0</v>
      </c>
      <c r="IR55" s="137">
        <f t="shared" si="13"/>
        <v>90</v>
      </c>
      <c r="IS55" s="137">
        <f t="shared" si="13"/>
        <v>11.7</v>
      </c>
      <c r="IT55" s="137">
        <f>SUM(IT49:IT51)</f>
        <v>0</v>
      </c>
      <c r="IU55" s="132">
        <f>SUM(IL59:IT59)-IK59</f>
        <v>0</v>
      </c>
    </row>
    <row r="56" spans="1:254" ht="15">
      <c r="A56" s="129"/>
      <c r="B56" s="148"/>
      <c r="C56" s="135"/>
      <c r="D56" s="135"/>
      <c r="E56" s="135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2">
        <f t="shared" si="1"/>
        <v>0</v>
      </c>
      <c r="R56" s="129"/>
      <c r="S56" s="134"/>
      <c r="T56" s="135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F56" s="129"/>
      <c r="AG56" s="136"/>
      <c r="AH56" s="135"/>
      <c r="AI56" s="135"/>
      <c r="AJ56" s="135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V56" s="129"/>
      <c r="AW56" s="136"/>
      <c r="AX56" s="135"/>
      <c r="AY56" s="135"/>
      <c r="AZ56" s="135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L56" s="129"/>
      <c r="BM56" s="136"/>
      <c r="BN56" s="135"/>
      <c r="BO56" s="135"/>
      <c r="BP56" s="135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B56" s="129"/>
      <c r="CC56" s="136"/>
      <c r="CD56" s="135"/>
      <c r="CE56" s="135"/>
      <c r="CF56" s="135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R56" s="129"/>
      <c r="CS56" s="136"/>
      <c r="CT56" s="135"/>
      <c r="CU56" s="135"/>
      <c r="CV56" s="135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H56" s="129"/>
      <c r="DI56" s="136"/>
      <c r="DJ56" s="135"/>
      <c r="DK56" s="135"/>
      <c r="DL56" s="135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X56" s="129"/>
      <c r="DY56" s="136"/>
      <c r="DZ56" s="135"/>
      <c r="EA56" s="135"/>
      <c r="EB56" s="135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N56" s="129"/>
      <c r="EO56" s="136"/>
      <c r="EP56" s="135"/>
      <c r="EQ56" s="135"/>
      <c r="ER56" s="135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D56" s="129"/>
      <c r="FE56" s="136"/>
      <c r="FF56" s="135"/>
      <c r="FG56" s="135"/>
      <c r="FH56" s="135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T56" s="129"/>
      <c r="FU56" s="136"/>
      <c r="FV56" s="135"/>
      <c r="FW56" s="135"/>
      <c r="FX56" s="135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J56" s="129"/>
      <c r="GK56" s="136"/>
      <c r="GL56" s="135"/>
      <c r="GM56" s="135"/>
      <c r="GN56" s="135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Z56" s="129"/>
      <c r="HA56" s="136"/>
      <c r="HB56" s="135"/>
      <c r="HC56" s="135"/>
      <c r="HD56" s="135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P56" s="129"/>
      <c r="HQ56" s="136"/>
      <c r="HR56" s="135"/>
      <c r="HS56" s="135"/>
      <c r="HT56" s="135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F56" s="129"/>
      <c r="IG56" s="136"/>
      <c r="IH56" s="135"/>
      <c r="II56" s="135"/>
      <c r="IJ56" s="135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</row>
    <row r="57" spans="2:21" ht="15">
      <c r="B57" s="141" t="s">
        <v>183</v>
      </c>
      <c r="C57" s="132" t="s">
        <v>16</v>
      </c>
      <c r="D57" s="132" t="s">
        <v>69</v>
      </c>
      <c r="E57" s="132" t="s">
        <v>184</v>
      </c>
      <c r="F57" s="123">
        <v>91.71</v>
      </c>
      <c r="G57" s="123">
        <v>91.71</v>
      </c>
      <c r="Q57" s="132">
        <f t="shared" si="1"/>
        <v>0</v>
      </c>
      <c r="U57" s="134"/>
    </row>
    <row r="58" spans="1:19" ht="15">
      <c r="A58" s="131" t="s">
        <v>308</v>
      </c>
      <c r="B58" s="141">
        <v>750</v>
      </c>
      <c r="C58" s="132" t="s">
        <v>16</v>
      </c>
      <c r="D58" s="132" t="s">
        <v>84</v>
      </c>
      <c r="E58" s="132" t="s">
        <v>85</v>
      </c>
      <c r="F58" s="123">
        <v>43.4</v>
      </c>
      <c r="G58" s="123">
        <v>43.4</v>
      </c>
      <c r="Q58" s="132">
        <f t="shared" si="1"/>
        <v>0</v>
      </c>
      <c r="S58" s="134"/>
    </row>
    <row r="59" spans="1:21" ht="25.5">
      <c r="A59" s="131" t="s">
        <v>308</v>
      </c>
      <c r="B59" s="141">
        <v>751</v>
      </c>
      <c r="C59" s="132" t="s">
        <v>16</v>
      </c>
      <c r="D59" s="132" t="s">
        <v>309</v>
      </c>
      <c r="E59" s="132" t="s">
        <v>310</v>
      </c>
      <c r="F59" s="123">
        <v>100</v>
      </c>
      <c r="M59" s="123">
        <v>100</v>
      </c>
      <c r="Q59" s="132">
        <f t="shared" si="1"/>
        <v>0</v>
      </c>
      <c r="S59" s="134"/>
      <c r="U59" s="142"/>
    </row>
    <row r="60" spans="1:21" ht="15">
      <c r="A60" s="131" t="s">
        <v>308</v>
      </c>
      <c r="B60" s="141">
        <v>752</v>
      </c>
      <c r="C60" s="132" t="s">
        <v>16</v>
      </c>
      <c r="D60" s="132" t="s">
        <v>311</v>
      </c>
      <c r="E60" s="132" t="s">
        <v>329</v>
      </c>
      <c r="F60" s="123">
        <v>390</v>
      </c>
      <c r="K60" s="123">
        <v>65</v>
      </c>
      <c r="P60" s="123">
        <v>325</v>
      </c>
      <c r="Q60" s="132">
        <f t="shared" si="1"/>
        <v>0</v>
      </c>
      <c r="S60" s="134"/>
      <c r="U60" s="134"/>
    </row>
    <row r="61" spans="1:21" ht="15">
      <c r="A61" s="131" t="s">
        <v>308</v>
      </c>
      <c r="B61" s="141">
        <v>753</v>
      </c>
      <c r="C61" s="132" t="s">
        <v>16</v>
      </c>
      <c r="D61" s="132" t="s">
        <v>27</v>
      </c>
      <c r="E61" s="132" t="s">
        <v>312</v>
      </c>
      <c r="F61" s="123">
        <v>1014.86</v>
      </c>
      <c r="G61" s="123">
        <v>1014.86</v>
      </c>
      <c r="Q61" s="132">
        <f t="shared" si="1"/>
        <v>0</v>
      </c>
      <c r="S61" s="134"/>
      <c r="U61" s="134"/>
    </row>
    <row r="62" spans="1:17" ht="12.75">
      <c r="A62" s="131" t="s">
        <v>313</v>
      </c>
      <c r="B62" s="141" t="s">
        <v>103</v>
      </c>
      <c r="C62" s="132" t="s">
        <v>16</v>
      </c>
      <c r="D62" s="132" t="s">
        <v>65</v>
      </c>
      <c r="E62" s="132" t="s">
        <v>36</v>
      </c>
      <c r="F62" s="123">
        <v>19.8</v>
      </c>
      <c r="K62" s="123">
        <v>3.3</v>
      </c>
      <c r="O62" s="123">
        <v>16.5</v>
      </c>
      <c r="Q62" s="132">
        <f t="shared" si="1"/>
        <v>0</v>
      </c>
    </row>
    <row r="63" spans="17:21" ht="15">
      <c r="Q63" s="132">
        <f t="shared" si="1"/>
        <v>0</v>
      </c>
      <c r="S63" s="134"/>
      <c r="U63" s="134"/>
    </row>
    <row r="64" spans="17:21" ht="15">
      <c r="Q64" s="132">
        <f t="shared" si="1"/>
        <v>0</v>
      </c>
      <c r="S64" s="134"/>
      <c r="U64" s="134"/>
    </row>
    <row r="65" spans="1:21" s="135" customFormat="1" ht="15">
      <c r="A65" s="129" t="s">
        <v>115</v>
      </c>
      <c r="B65" s="148"/>
      <c r="E65" s="135" t="s">
        <v>22</v>
      </c>
      <c r="F65" s="137">
        <f>SUM(F56:F64)</f>
        <v>1659.77</v>
      </c>
      <c r="G65" s="137">
        <f>SUM(G56:G64)</f>
        <v>1149.97</v>
      </c>
      <c r="H65" s="137">
        <f aca="true" t="shared" si="14" ref="H65:P65">SUM(H56:H64)</f>
        <v>0</v>
      </c>
      <c r="I65" s="137">
        <f t="shared" si="14"/>
        <v>0</v>
      </c>
      <c r="J65" s="137">
        <f t="shared" si="14"/>
        <v>0</v>
      </c>
      <c r="K65" s="137">
        <f t="shared" si="14"/>
        <v>68.3</v>
      </c>
      <c r="L65" s="137">
        <f t="shared" si="14"/>
        <v>0</v>
      </c>
      <c r="M65" s="137">
        <f t="shared" si="14"/>
        <v>100</v>
      </c>
      <c r="N65" s="137">
        <f>SUM(N56:N64)</f>
        <v>0</v>
      </c>
      <c r="O65" s="137">
        <f t="shared" si="14"/>
        <v>16.5</v>
      </c>
      <c r="P65" s="137">
        <f t="shared" si="14"/>
        <v>325</v>
      </c>
      <c r="Q65" s="132">
        <f t="shared" si="1"/>
        <v>0</v>
      </c>
      <c r="U65" s="134"/>
    </row>
    <row r="66" spans="1:17" ht="12.75">
      <c r="A66" s="132"/>
      <c r="Q66" s="132">
        <f t="shared" si="1"/>
        <v>0</v>
      </c>
    </row>
    <row r="67" ht="12.75">
      <c r="Q67" s="132">
        <f t="shared" si="1"/>
        <v>0</v>
      </c>
    </row>
    <row r="68" ht="12.75">
      <c r="Q68" s="132">
        <f t="shared" si="1"/>
        <v>0</v>
      </c>
    </row>
    <row r="69" spans="1:17" ht="12.75">
      <c r="A69" s="131" t="s">
        <v>313</v>
      </c>
      <c r="B69" s="141">
        <v>754</v>
      </c>
      <c r="C69" s="132" t="s">
        <v>16</v>
      </c>
      <c r="D69" s="132" t="s">
        <v>27</v>
      </c>
      <c r="E69" s="132" t="s">
        <v>314</v>
      </c>
      <c r="F69" s="123">
        <v>483.44</v>
      </c>
      <c r="G69" s="123">
        <f>509.48-40.76-43.4</f>
        <v>425.32000000000005</v>
      </c>
      <c r="H69" s="123">
        <v>58.12</v>
      </c>
      <c r="Q69" s="132">
        <f t="shared" si="1"/>
        <v>0</v>
      </c>
    </row>
    <row r="70" spans="1:17" ht="19.5" customHeight="1">
      <c r="A70" s="131" t="s">
        <v>313</v>
      </c>
      <c r="B70" s="141">
        <v>755</v>
      </c>
      <c r="C70" s="132" t="s">
        <v>16</v>
      </c>
      <c r="D70" s="132" t="s">
        <v>84</v>
      </c>
      <c r="E70" s="132" t="s">
        <v>139</v>
      </c>
      <c r="F70" s="123">
        <v>43.4</v>
      </c>
      <c r="G70" s="123">
        <v>43.4</v>
      </c>
      <c r="Q70" s="132">
        <f t="shared" si="1"/>
        <v>0</v>
      </c>
    </row>
    <row r="71" ht="12.75">
      <c r="Q71" s="132">
        <f t="shared" si="1"/>
        <v>0</v>
      </c>
    </row>
    <row r="72" spans="1:21" s="135" customFormat="1" ht="15">
      <c r="A72" s="129" t="s">
        <v>24</v>
      </c>
      <c r="B72" s="148"/>
      <c r="E72" s="135" t="s">
        <v>22</v>
      </c>
      <c r="F72" s="137">
        <f>SUM(F67:F71)</f>
        <v>526.84</v>
      </c>
      <c r="G72" s="137">
        <f aca="true" t="shared" si="15" ref="G72:P72">SUM(G67:G71)</f>
        <v>468.72</v>
      </c>
      <c r="H72" s="137">
        <f t="shared" si="15"/>
        <v>58.12</v>
      </c>
      <c r="I72" s="137">
        <f t="shared" si="15"/>
        <v>0</v>
      </c>
      <c r="J72" s="137">
        <f t="shared" si="15"/>
        <v>0</v>
      </c>
      <c r="K72" s="137">
        <f t="shared" si="15"/>
        <v>0</v>
      </c>
      <c r="L72" s="137">
        <f t="shared" si="15"/>
        <v>0</v>
      </c>
      <c r="M72" s="137">
        <f t="shared" si="15"/>
        <v>0</v>
      </c>
      <c r="N72" s="137">
        <f t="shared" si="15"/>
        <v>0</v>
      </c>
      <c r="O72" s="137">
        <f t="shared" si="15"/>
        <v>0</v>
      </c>
      <c r="P72" s="137">
        <f t="shared" si="15"/>
        <v>0</v>
      </c>
      <c r="Q72" s="132">
        <f t="shared" si="1"/>
        <v>0</v>
      </c>
      <c r="U72" s="134"/>
    </row>
    <row r="73" spans="1:17" ht="12.75">
      <c r="A73" s="132"/>
      <c r="Q73" s="132">
        <f t="shared" si="1"/>
        <v>0</v>
      </c>
    </row>
    <row r="74" spans="2:17" ht="12.75">
      <c r="B74" s="141" t="s">
        <v>126</v>
      </c>
      <c r="C74" s="132" t="s">
        <v>16</v>
      </c>
      <c r="D74" s="132" t="s">
        <v>69</v>
      </c>
      <c r="E74" s="132" t="s">
        <v>111</v>
      </c>
      <c r="F74" s="123">
        <v>91.71</v>
      </c>
      <c r="G74" s="123">
        <v>91.71</v>
      </c>
      <c r="Q74" s="132">
        <f t="shared" si="1"/>
        <v>0</v>
      </c>
    </row>
    <row r="75" spans="1:18" ht="15">
      <c r="A75" s="132"/>
      <c r="B75" s="141" t="s">
        <v>103</v>
      </c>
      <c r="C75" s="132" t="s">
        <v>16</v>
      </c>
      <c r="D75" s="132" t="s">
        <v>65</v>
      </c>
      <c r="E75" s="132" t="s">
        <v>36</v>
      </c>
      <c r="F75" s="123">
        <v>10.8</v>
      </c>
      <c r="K75" s="123">
        <v>1.8</v>
      </c>
      <c r="O75" s="123">
        <v>9</v>
      </c>
      <c r="Q75" s="132">
        <f aca="true" t="shared" si="16" ref="Q75:Q131">SUM(G75:P75)-F75</f>
        <v>0</v>
      </c>
      <c r="R75" s="42"/>
    </row>
    <row r="76" spans="1:18" ht="15">
      <c r="A76" s="131" t="s">
        <v>328</v>
      </c>
      <c r="B76" s="141">
        <v>756</v>
      </c>
      <c r="C76" s="132" t="s">
        <v>16</v>
      </c>
      <c r="D76" s="132" t="s">
        <v>27</v>
      </c>
      <c r="E76" s="132" t="s">
        <v>312</v>
      </c>
      <c r="F76" s="123">
        <v>489.2</v>
      </c>
      <c r="G76" s="123">
        <f>509.48-43.4-40.76</f>
        <v>425.32000000000005</v>
      </c>
      <c r="H76" s="123">
        <v>63.88</v>
      </c>
      <c r="Q76" s="132">
        <f t="shared" si="16"/>
        <v>0</v>
      </c>
      <c r="R76" s="42"/>
    </row>
    <row r="77" spans="1:18" ht="15">
      <c r="A77" s="131" t="s">
        <v>328</v>
      </c>
      <c r="B77" s="141">
        <v>757</v>
      </c>
      <c r="C77" s="132" t="s">
        <v>16</v>
      </c>
      <c r="D77" s="132" t="s">
        <v>84</v>
      </c>
      <c r="E77" s="132" t="s">
        <v>130</v>
      </c>
      <c r="F77" s="123">
        <v>43.4</v>
      </c>
      <c r="G77" s="123">
        <v>43.4</v>
      </c>
      <c r="Q77" s="132">
        <f t="shared" si="16"/>
        <v>0</v>
      </c>
      <c r="R77" s="42"/>
    </row>
    <row r="78" spans="17:18" ht="15">
      <c r="Q78" s="132">
        <f t="shared" si="16"/>
        <v>0</v>
      </c>
      <c r="R78" s="42"/>
    </row>
    <row r="79" spans="17:18" ht="19.5" customHeight="1">
      <c r="Q79" s="132">
        <f t="shared" si="16"/>
        <v>0</v>
      </c>
      <c r="R79" s="42"/>
    </row>
    <row r="80" spans="17:18" ht="15">
      <c r="Q80" s="132">
        <f t="shared" si="16"/>
        <v>0</v>
      </c>
      <c r="R80" s="42"/>
    </row>
    <row r="81" spans="17:18" ht="15">
      <c r="Q81" s="132">
        <f t="shared" si="16"/>
        <v>0</v>
      </c>
      <c r="R81" s="42"/>
    </row>
    <row r="82" spans="1:21" s="135" customFormat="1" ht="15">
      <c r="A82" s="129" t="s">
        <v>38</v>
      </c>
      <c r="B82" s="148"/>
      <c r="E82" s="135" t="s">
        <v>22</v>
      </c>
      <c r="F82" s="137">
        <f>SUM(F73:F81)</f>
        <v>635.11</v>
      </c>
      <c r="G82" s="137">
        <f aca="true" t="shared" si="17" ref="G82:P82">SUM(G73:G81)</f>
        <v>560.4300000000001</v>
      </c>
      <c r="H82" s="137">
        <f t="shared" si="17"/>
        <v>63.88</v>
      </c>
      <c r="I82" s="137">
        <f t="shared" si="17"/>
        <v>0</v>
      </c>
      <c r="J82" s="137">
        <f t="shared" si="17"/>
        <v>0</v>
      </c>
      <c r="K82" s="137">
        <f t="shared" si="17"/>
        <v>1.8</v>
      </c>
      <c r="L82" s="137">
        <f t="shared" si="17"/>
        <v>0</v>
      </c>
      <c r="M82" s="137">
        <f t="shared" si="17"/>
        <v>0</v>
      </c>
      <c r="N82" s="137">
        <f>SUM(N73:N81)</f>
        <v>0</v>
      </c>
      <c r="O82" s="137">
        <f t="shared" si="17"/>
        <v>9</v>
      </c>
      <c r="P82" s="137">
        <f t="shared" si="17"/>
        <v>0</v>
      </c>
      <c r="Q82" s="132">
        <f t="shared" si="16"/>
        <v>0</v>
      </c>
      <c r="R82" s="42"/>
      <c r="U82" s="134"/>
    </row>
    <row r="83" spans="1:18" ht="15">
      <c r="A83" s="132"/>
      <c r="Q83" s="132">
        <f t="shared" si="16"/>
        <v>0</v>
      </c>
      <c r="R83" s="42"/>
    </row>
    <row r="84" spans="1:17" ht="12.75">
      <c r="A84" s="131" t="s">
        <v>331</v>
      </c>
      <c r="B84" s="141" t="s">
        <v>332</v>
      </c>
      <c r="C84" s="132" t="s">
        <v>16</v>
      </c>
      <c r="D84" s="132" t="s">
        <v>285</v>
      </c>
      <c r="E84" s="132" t="s">
        <v>286</v>
      </c>
      <c r="F84" s="123">
        <v>91.71</v>
      </c>
      <c r="G84" s="123">
        <v>91.71</v>
      </c>
      <c r="Q84" s="132">
        <f t="shared" si="16"/>
        <v>0</v>
      </c>
    </row>
    <row r="85" spans="1:17" ht="12.75">
      <c r="A85" s="131" t="s">
        <v>331</v>
      </c>
      <c r="B85" s="141">
        <v>758</v>
      </c>
      <c r="C85" s="132" t="s">
        <v>16</v>
      </c>
      <c r="D85" s="132" t="s">
        <v>20</v>
      </c>
      <c r="E85" s="132" t="s">
        <v>43</v>
      </c>
      <c r="F85" s="123">
        <v>486.79</v>
      </c>
      <c r="G85" s="123">
        <f>509.48-40.76-43.4</f>
        <v>425.32000000000005</v>
      </c>
      <c r="H85" s="123">
        <v>61.47</v>
      </c>
      <c r="Q85" s="132">
        <f t="shared" si="16"/>
        <v>0</v>
      </c>
    </row>
    <row r="86" spans="1:17" ht="12.75">
      <c r="A86" s="131" t="s">
        <v>331</v>
      </c>
      <c r="B86" s="141">
        <v>759</v>
      </c>
      <c r="C86" s="132" t="s">
        <v>16</v>
      </c>
      <c r="D86" s="132" t="s">
        <v>84</v>
      </c>
      <c r="E86" s="132" t="s">
        <v>130</v>
      </c>
      <c r="F86" s="123">
        <v>43.4</v>
      </c>
      <c r="G86" s="123">
        <v>43.4</v>
      </c>
      <c r="Q86" s="132">
        <f t="shared" si="16"/>
        <v>0</v>
      </c>
    </row>
    <row r="87" spans="1:17" ht="19.5" customHeight="1">
      <c r="A87" s="131" t="s">
        <v>331</v>
      </c>
      <c r="B87" s="141">
        <v>760</v>
      </c>
      <c r="C87" s="132" t="s">
        <v>16</v>
      </c>
      <c r="D87" s="132" t="s">
        <v>210</v>
      </c>
      <c r="E87" s="132" t="s">
        <v>333</v>
      </c>
      <c r="F87" s="123">
        <v>49</v>
      </c>
      <c r="I87" s="123">
        <v>49</v>
      </c>
      <c r="Q87" s="132">
        <f t="shared" si="16"/>
        <v>0</v>
      </c>
    </row>
    <row r="88" ht="19.5" customHeight="1">
      <c r="Q88" s="132">
        <f t="shared" si="16"/>
        <v>0</v>
      </c>
    </row>
    <row r="89" ht="19.5" customHeight="1">
      <c r="Q89" s="132">
        <f t="shared" si="16"/>
        <v>0</v>
      </c>
    </row>
    <row r="90" ht="12.75">
      <c r="Q90" s="132">
        <f t="shared" si="16"/>
        <v>0</v>
      </c>
    </row>
    <row r="91" spans="1:21" s="135" customFormat="1" ht="15">
      <c r="A91" s="129" t="s">
        <v>182</v>
      </c>
      <c r="B91" s="148"/>
      <c r="E91" s="135" t="s">
        <v>22</v>
      </c>
      <c r="F91" s="137">
        <f>SUM(F83:F90)</f>
        <v>670.9</v>
      </c>
      <c r="G91" s="137">
        <f aca="true" t="shared" si="18" ref="G91:P91">SUM(G83:G90)</f>
        <v>560.4300000000001</v>
      </c>
      <c r="H91" s="137">
        <f t="shared" si="18"/>
        <v>61.47</v>
      </c>
      <c r="I91" s="137">
        <f t="shared" si="18"/>
        <v>49</v>
      </c>
      <c r="J91" s="137">
        <f t="shared" si="18"/>
        <v>0</v>
      </c>
      <c r="K91" s="137">
        <f t="shared" si="18"/>
        <v>0</v>
      </c>
      <c r="L91" s="137">
        <f t="shared" si="18"/>
        <v>0</v>
      </c>
      <c r="M91" s="137">
        <f t="shared" si="18"/>
        <v>0</v>
      </c>
      <c r="N91" s="137">
        <f>SUM(N83:N90)</f>
        <v>0</v>
      </c>
      <c r="O91" s="137">
        <f t="shared" si="18"/>
        <v>0</v>
      </c>
      <c r="P91" s="137">
        <f t="shared" si="18"/>
        <v>0</v>
      </c>
      <c r="Q91" s="132">
        <f t="shared" si="16"/>
        <v>0</v>
      </c>
      <c r="U91" s="134"/>
    </row>
    <row r="92" spans="1:21" s="135" customFormat="1" ht="15">
      <c r="A92" s="129"/>
      <c r="B92" s="148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2">
        <f t="shared" si="16"/>
        <v>0</v>
      </c>
      <c r="U92" s="134"/>
    </row>
    <row r="93" spans="1:17" ht="12.75">
      <c r="A93" s="131" t="s">
        <v>337</v>
      </c>
      <c r="B93" s="141" t="s">
        <v>332</v>
      </c>
      <c r="C93" s="132" t="s">
        <v>16</v>
      </c>
      <c r="D93" s="132" t="s">
        <v>285</v>
      </c>
      <c r="E93" s="132" t="s">
        <v>286</v>
      </c>
      <c r="F93" s="123">
        <v>91.71</v>
      </c>
      <c r="G93" s="123">
        <v>91.71</v>
      </c>
      <c r="Q93" s="132">
        <f t="shared" si="16"/>
        <v>0</v>
      </c>
    </row>
    <row r="94" spans="1:17" ht="12.75">
      <c r="A94" s="131" t="s">
        <v>337</v>
      </c>
      <c r="B94" s="141">
        <v>761</v>
      </c>
      <c r="C94" s="132" t="s">
        <v>16</v>
      </c>
      <c r="D94" s="132" t="s">
        <v>20</v>
      </c>
      <c r="E94" s="132" t="s">
        <v>43</v>
      </c>
      <c r="F94" s="123">
        <v>472.2</v>
      </c>
      <c r="G94" s="123">
        <f>509.48-40.76-43.4</f>
        <v>425.32000000000005</v>
      </c>
      <c r="H94" s="123">
        <v>46.88</v>
      </c>
      <c r="Q94" s="132">
        <f t="shared" si="16"/>
        <v>0</v>
      </c>
    </row>
    <row r="95" spans="1:17" ht="12.75">
      <c r="A95" s="131" t="s">
        <v>337</v>
      </c>
      <c r="B95" s="141">
        <v>762</v>
      </c>
      <c r="C95" s="132" t="s">
        <v>16</v>
      </c>
      <c r="D95" s="132" t="s">
        <v>84</v>
      </c>
      <c r="E95" s="132" t="s">
        <v>130</v>
      </c>
      <c r="F95" s="123">
        <v>43.4</v>
      </c>
      <c r="G95" s="123">
        <v>43.4</v>
      </c>
      <c r="Q95" s="132">
        <f t="shared" si="16"/>
        <v>0</v>
      </c>
    </row>
    <row r="96" spans="1:17" ht="12.75">
      <c r="A96" s="131" t="s">
        <v>337</v>
      </c>
      <c r="B96" s="141" t="s">
        <v>68</v>
      </c>
      <c r="C96" s="132" t="s">
        <v>16</v>
      </c>
      <c r="D96" s="132" t="s">
        <v>65</v>
      </c>
      <c r="E96" s="132" t="s">
        <v>36</v>
      </c>
      <c r="F96" s="123">
        <v>16.2</v>
      </c>
      <c r="K96" s="123">
        <v>2.7</v>
      </c>
      <c r="O96" s="123">
        <v>13.5</v>
      </c>
      <c r="Q96" s="132">
        <f t="shared" si="16"/>
        <v>0</v>
      </c>
    </row>
    <row r="97" ht="12.75">
      <c r="Q97" s="132">
        <f t="shared" si="16"/>
        <v>0</v>
      </c>
    </row>
    <row r="98" ht="19.5" customHeight="1">
      <c r="Q98" s="132">
        <f t="shared" si="16"/>
        <v>0</v>
      </c>
    </row>
    <row r="99" ht="12.75">
      <c r="Q99" s="132">
        <f t="shared" si="16"/>
        <v>0</v>
      </c>
    </row>
    <row r="100" ht="12.75">
      <c r="Q100" s="132">
        <f t="shared" si="16"/>
        <v>0</v>
      </c>
    </row>
    <row r="101" ht="12.75">
      <c r="Q101" s="132">
        <f t="shared" si="16"/>
        <v>0</v>
      </c>
    </row>
    <row r="102" ht="19.5" customHeight="1">
      <c r="Q102" s="132">
        <f t="shared" si="16"/>
        <v>0</v>
      </c>
    </row>
    <row r="103" spans="1:17" ht="12.75">
      <c r="A103" s="129" t="s">
        <v>339</v>
      </c>
      <c r="B103" s="148"/>
      <c r="C103" s="135"/>
      <c r="D103" s="135"/>
      <c r="E103" s="135" t="s">
        <v>22</v>
      </c>
      <c r="F103" s="137">
        <f>SUM(F93:F102)</f>
        <v>623.51</v>
      </c>
      <c r="G103" s="137">
        <f>SUM(G93:G102)</f>
        <v>560.4300000000001</v>
      </c>
      <c r="H103" s="137">
        <f aca="true" t="shared" si="19" ref="H103:P103">SUM(H93:H102)</f>
        <v>46.88</v>
      </c>
      <c r="I103" s="137">
        <f t="shared" si="19"/>
        <v>0</v>
      </c>
      <c r="J103" s="137">
        <f t="shared" si="19"/>
        <v>0</v>
      </c>
      <c r="K103" s="137">
        <f t="shared" si="19"/>
        <v>2.7</v>
      </c>
      <c r="L103" s="137">
        <f t="shared" si="19"/>
        <v>0</v>
      </c>
      <c r="M103" s="137">
        <f t="shared" si="19"/>
        <v>0</v>
      </c>
      <c r="N103" s="137">
        <f t="shared" si="19"/>
        <v>0</v>
      </c>
      <c r="O103" s="137">
        <f t="shared" si="19"/>
        <v>13.5</v>
      </c>
      <c r="P103" s="137">
        <f t="shared" si="19"/>
        <v>0</v>
      </c>
      <c r="Q103" s="132">
        <f>SUM(G103:P103)-F103</f>
        <v>0</v>
      </c>
    </row>
    <row r="104" spans="1:18" ht="12.75">
      <c r="A104" s="129"/>
      <c r="B104" s="148"/>
      <c r="C104" s="135"/>
      <c r="D104" s="135"/>
      <c r="E104" s="135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2">
        <f t="shared" si="16"/>
        <v>0</v>
      </c>
      <c r="R104" s="135"/>
    </row>
    <row r="105" spans="3:18" ht="25.5">
      <c r="C105" s="132" t="s">
        <v>16</v>
      </c>
      <c r="D105" s="132" t="s">
        <v>340</v>
      </c>
      <c r="E105" s="132" t="s">
        <v>341</v>
      </c>
      <c r="F105" s="123">
        <v>-648.96</v>
      </c>
      <c r="K105" s="123">
        <v>-108.16</v>
      </c>
      <c r="L105" s="123">
        <v>-540.8</v>
      </c>
      <c r="Q105" s="132">
        <f t="shared" si="16"/>
        <v>0</v>
      </c>
      <c r="R105" s="135"/>
    </row>
    <row r="106" spans="2:17" ht="12.75">
      <c r="B106" s="141" t="s">
        <v>68</v>
      </c>
      <c r="C106" s="132" t="s">
        <v>16</v>
      </c>
      <c r="D106" s="132" t="s">
        <v>285</v>
      </c>
      <c r="E106" s="132" t="s">
        <v>111</v>
      </c>
      <c r="F106" s="123">
        <v>91.71</v>
      </c>
      <c r="G106" s="123">
        <v>91.71</v>
      </c>
      <c r="Q106" s="132">
        <f t="shared" si="16"/>
        <v>0</v>
      </c>
    </row>
    <row r="107" spans="1:17" ht="12.75">
      <c r="A107" s="131" t="s">
        <v>342</v>
      </c>
      <c r="B107" s="141">
        <v>763</v>
      </c>
      <c r="C107" s="132" t="s">
        <v>16</v>
      </c>
      <c r="D107" s="132" t="s">
        <v>27</v>
      </c>
      <c r="E107" s="132" t="s">
        <v>43</v>
      </c>
      <c r="F107" s="123">
        <v>474.16</v>
      </c>
      <c r="G107" s="123">
        <f>509.48-40.76-43.6+49.04</f>
        <v>474.16</v>
      </c>
      <c r="Q107" s="132">
        <f t="shared" si="16"/>
        <v>0</v>
      </c>
    </row>
    <row r="108" spans="1:17" ht="12.75">
      <c r="A108" s="131" t="s">
        <v>342</v>
      </c>
      <c r="B108" s="141">
        <v>764</v>
      </c>
      <c r="C108" s="132" t="s">
        <v>16</v>
      </c>
      <c r="D108" s="132" t="s">
        <v>84</v>
      </c>
      <c r="E108" s="132" t="s">
        <v>130</v>
      </c>
      <c r="F108" s="123">
        <v>43.6</v>
      </c>
      <c r="G108" s="123">
        <v>43.6</v>
      </c>
      <c r="Q108" s="132">
        <f t="shared" si="16"/>
        <v>0</v>
      </c>
    </row>
    <row r="109" spans="1:17" ht="12.75">
      <c r="A109" s="131" t="s">
        <v>342</v>
      </c>
      <c r="B109" s="141">
        <v>765</v>
      </c>
      <c r="C109" s="132" t="s">
        <v>16</v>
      </c>
      <c r="D109" s="132" t="s">
        <v>343</v>
      </c>
      <c r="E109" s="132" t="s">
        <v>156</v>
      </c>
      <c r="F109" s="123">
        <v>66</v>
      </c>
      <c r="I109" s="123">
        <v>55</v>
      </c>
      <c r="K109" s="123">
        <v>11</v>
      </c>
      <c r="Q109" s="132">
        <f t="shared" si="16"/>
        <v>0</v>
      </c>
    </row>
    <row r="110" spans="1:17" ht="12.75">
      <c r="A110" s="131" t="s">
        <v>342</v>
      </c>
      <c r="B110" s="141">
        <v>766</v>
      </c>
      <c r="C110" s="132" t="s">
        <v>16</v>
      </c>
      <c r="D110" s="132" t="s">
        <v>63</v>
      </c>
      <c r="E110" s="132" t="s">
        <v>344</v>
      </c>
      <c r="F110" s="123">
        <v>1836.69</v>
      </c>
      <c r="N110" s="123">
        <v>1836.69</v>
      </c>
      <c r="Q110" s="132">
        <f t="shared" si="16"/>
        <v>0</v>
      </c>
    </row>
    <row r="111" spans="1:17" ht="25.5">
      <c r="A111" s="143" t="s">
        <v>350</v>
      </c>
      <c r="B111" s="141">
        <v>767</v>
      </c>
      <c r="C111" s="132" t="s">
        <v>16</v>
      </c>
      <c r="D111" s="132" t="s">
        <v>61</v>
      </c>
      <c r="E111" s="132" t="s">
        <v>345</v>
      </c>
      <c r="F111" s="123">
        <v>229.2</v>
      </c>
      <c r="K111" s="123">
        <v>38.2</v>
      </c>
      <c r="L111" s="123">
        <v>191</v>
      </c>
      <c r="Q111" s="132">
        <f t="shared" si="16"/>
        <v>0</v>
      </c>
    </row>
    <row r="112" ht="12.75">
      <c r="Q112" s="132">
        <f t="shared" si="16"/>
        <v>0</v>
      </c>
    </row>
    <row r="113" ht="12.75">
      <c r="Q113" s="132">
        <f t="shared" si="16"/>
        <v>0</v>
      </c>
    </row>
    <row r="114" ht="12.75">
      <c r="Q114" s="132">
        <f t="shared" si="16"/>
        <v>0</v>
      </c>
    </row>
    <row r="115" spans="1:17" ht="12.75">
      <c r="A115" s="129" t="s">
        <v>212</v>
      </c>
      <c r="B115" s="148"/>
      <c r="C115" s="135"/>
      <c r="D115" s="135"/>
      <c r="E115" s="135" t="s">
        <v>22</v>
      </c>
      <c r="F115" s="137">
        <f>SUM(F105:F114)</f>
        <v>2092.4</v>
      </c>
      <c r="G115" s="137">
        <f>SUM(G105:G114)</f>
        <v>609.47</v>
      </c>
      <c r="H115" s="137">
        <f aca="true" t="shared" si="20" ref="H115:P115">SUM(H105:H114)</f>
        <v>0</v>
      </c>
      <c r="I115" s="137">
        <f t="shared" si="20"/>
        <v>55</v>
      </c>
      <c r="J115" s="137">
        <f t="shared" si="20"/>
        <v>0</v>
      </c>
      <c r="K115" s="137">
        <f t="shared" si="20"/>
        <v>-58.959999999999994</v>
      </c>
      <c r="L115" s="137">
        <f t="shared" si="20"/>
        <v>-349.79999999999995</v>
      </c>
      <c r="M115" s="137">
        <f t="shared" si="20"/>
        <v>0</v>
      </c>
      <c r="N115" s="137">
        <f t="shared" si="20"/>
        <v>1836.69</v>
      </c>
      <c r="O115" s="137">
        <f t="shared" si="20"/>
        <v>0</v>
      </c>
      <c r="P115" s="137">
        <f t="shared" si="20"/>
        <v>0</v>
      </c>
      <c r="Q115" s="132">
        <f t="shared" si="16"/>
        <v>0</v>
      </c>
    </row>
    <row r="116" ht="12.75">
      <c r="Q116" s="132">
        <f t="shared" si="16"/>
        <v>0</v>
      </c>
    </row>
    <row r="117" spans="1:17" ht="12.75">
      <c r="A117" s="131" t="s">
        <v>349</v>
      </c>
      <c r="B117" s="141" t="s">
        <v>183</v>
      </c>
      <c r="C117" s="132" t="s">
        <v>16</v>
      </c>
      <c r="D117" s="132" t="s">
        <v>285</v>
      </c>
      <c r="E117" s="132" t="s">
        <v>111</v>
      </c>
      <c r="F117" s="123">
        <v>91.71</v>
      </c>
      <c r="G117" s="123">
        <v>91.71</v>
      </c>
      <c r="Q117" s="132">
        <f t="shared" si="16"/>
        <v>0</v>
      </c>
    </row>
    <row r="118" spans="1:17" ht="12.75">
      <c r="A118" s="131" t="s">
        <v>349</v>
      </c>
      <c r="B118" s="141" t="s">
        <v>68</v>
      </c>
      <c r="C118" s="132" t="s">
        <v>16</v>
      </c>
      <c r="D118" s="132" t="s">
        <v>65</v>
      </c>
      <c r="E118" s="132" t="s">
        <v>36</v>
      </c>
      <c r="F118" s="123">
        <v>18</v>
      </c>
      <c r="K118" s="123">
        <v>3</v>
      </c>
      <c r="O118" s="123">
        <v>15</v>
      </c>
      <c r="Q118" s="132">
        <f t="shared" si="16"/>
        <v>0</v>
      </c>
    </row>
    <row r="119" spans="1:17" ht="12.75">
      <c r="A119" s="131" t="s">
        <v>349</v>
      </c>
      <c r="B119" s="141">
        <v>768</v>
      </c>
      <c r="C119" s="132" t="s">
        <v>16</v>
      </c>
      <c r="D119" s="132" t="s">
        <v>27</v>
      </c>
      <c r="E119" s="132" t="s">
        <v>247</v>
      </c>
      <c r="F119" s="123">
        <v>474.36</v>
      </c>
      <c r="G119" s="123">
        <f>509.48-40.76-43.4</f>
        <v>425.32000000000005</v>
      </c>
      <c r="H119" s="123">
        <v>49.04</v>
      </c>
      <c r="K119"/>
      <c r="Q119" s="132">
        <f t="shared" si="16"/>
        <v>0</v>
      </c>
    </row>
    <row r="120" spans="1:17" ht="12.75">
      <c r="A120" s="131" t="s">
        <v>349</v>
      </c>
      <c r="B120" s="141">
        <v>769</v>
      </c>
      <c r="C120" s="132" t="s">
        <v>16</v>
      </c>
      <c r="D120" s="132" t="s">
        <v>84</v>
      </c>
      <c r="E120" s="132" t="s">
        <v>130</v>
      </c>
      <c r="F120" s="123">
        <v>43.4</v>
      </c>
      <c r="G120" s="123">
        <v>43.4</v>
      </c>
      <c r="Q120" s="132">
        <f t="shared" si="16"/>
        <v>0</v>
      </c>
    </row>
    <row r="121" ht="12.75">
      <c r="Q121" s="132">
        <f t="shared" si="16"/>
        <v>0</v>
      </c>
    </row>
    <row r="122" ht="12.75">
      <c r="Q122" s="132">
        <f t="shared" si="16"/>
        <v>0</v>
      </c>
    </row>
    <row r="123" ht="12.75">
      <c r="Q123" s="132">
        <f t="shared" si="16"/>
        <v>0</v>
      </c>
    </row>
    <row r="124" spans="1:17" ht="12.75">
      <c r="A124" s="143" t="s">
        <v>32</v>
      </c>
      <c r="F124" s="144">
        <f>SUM(F116:F122)</f>
        <v>627.47</v>
      </c>
      <c r="G124" s="144">
        <f aca="true" t="shared" si="21" ref="G124:M124">SUM(G116:G122)</f>
        <v>560.4300000000001</v>
      </c>
      <c r="H124" s="144">
        <f t="shared" si="21"/>
        <v>49.04</v>
      </c>
      <c r="I124" s="144">
        <f t="shared" si="21"/>
        <v>0</v>
      </c>
      <c r="J124" s="144">
        <f t="shared" si="21"/>
        <v>0</v>
      </c>
      <c r="K124" s="144">
        <f t="shared" si="21"/>
        <v>3</v>
      </c>
      <c r="L124" s="144">
        <f t="shared" si="21"/>
        <v>0</v>
      </c>
      <c r="M124" s="144">
        <f t="shared" si="21"/>
        <v>0</v>
      </c>
      <c r="N124" s="144">
        <f>SUM(N116:N122)</f>
        <v>0</v>
      </c>
      <c r="O124" s="144">
        <f>SUM(O116:O122)</f>
        <v>15</v>
      </c>
      <c r="P124" s="144">
        <f>SUM(P116:P122)</f>
        <v>0</v>
      </c>
      <c r="Q124" s="132">
        <f t="shared" si="16"/>
        <v>0</v>
      </c>
    </row>
    <row r="125" spans="10:17" ht="12.75">
      <c r="J125" s="137"/>
      <c r="Q125" s="132">
        <f t="shared" si="16"/>
        <v>0</v>
      </c>
    </row>
    <row r="126" ht="12.75">
      <c r="Q126" s="132">
        <f t="shared" si="16"/>
        <v>0</v>
      </c>
    </row>
    <row r="127" ht="12.75">
      <c r="Q127" s="132">
        <f t="shared" si="16"/>
        <v>0</v>
      </c>
    </row>
    <row r="128" ht="12.75">
      <c r="Q128" s="132">
        <f t="shared" si="16"/>
        <v>0</v>
      </c>
    </row>
    <row r="129" ht="12.75">
      <c r="Q129" s="132">
        <f t="shared" si="16"/>
        <v>0</v>
      </c>
    </row>
    <row r="130" spans="6:17" ht="12.75">
      <c r="F130" s="123">
        <f aca="true" t="shared" si="22" ref="F130:K130">SUM(F4:F100)/2</f>
        <v>17036.094999999998</v>
      </c>
      <c r="G130" s="123">
        <f t="shared" si="22"/>
        <v>5280.124999999999</v>
      </c>
      <c r="H130" s="123">
        <f t="shared" si="22"/>
        <v>434.34000000000003</v>
      </c>
      <c r="I130" s="123">
        <f t="shared" si="22"/>
        <v>268.55</v>
      </c>
      <c r="J130" s="123">
        <f t="shared" si="22"/>
        <v>1545</v>
      </c>
      <c r="K130" s="123">
        <f t="shared" si="22"/>
        <v>1512.1800000000003</v>
      </c>
      <c r="L130" s="123">
        <f>SUM(L4:L115)/2</f>
        <v>191</v>
      </c>
      <c r="M130" s="123">
        <f>SUM(M4:M100)/2</f>
        <v>424.95</v>
      </c>
      <c r="N130" s="123">
        <f>SUM(N4:N100)/2</f>
        <v>0</v>
      </c>
      <c r="O130" s="123">
        <f>SUM(O4:O100)/2</f>
        <v>90.15</v>
      </c>
      <c r="P130" s="123">
        <f>SUM(P4:P100)/2</f>
        <v>6940</v>
      </c>
      <c r="Q130" s="132">
        <f t="shared" si="16"/>
        <v>-349.7999999999993</v>
      </c>
    </row>
    <row r="131" ht="12.75">
      <c r="Q131" s="132">
        <f t="shared" si="16"/>
        <v>0</v>
      </c>
    </row>
    <row r="132" ht="12.75">
      <c r="Q132" s="132">
        <f>SUM(G131:P131)-F131</f>
        <v>0</v>
      </c>
    </row>
    <row r="133" spans="6:17" ht="12.75">
      <c r="F133" s="123" t="s">
        <v>16</v>
      </c>
      <c r="G133" s="123" t="s">
        <v>16</v>
      </c>
      <c r="H133" s="123" t="s">
        <v>16</v>
      </c>
      <c r="I133" s="123" t="s">
        <v>16</v>
      </c>
      <c r="J133" s="123" t="s">
        <v>16</v>
      </c>
      <c r="K133" s="123" t="s">
        <v>16</v>
      </c>
      <c r="L133" s="123" t="s">
        <v>16</v>
      </c>
      <c r="M133" s="123" t="s">
        <v>16</v>
      </c>
      <c r="N133" s="123" t="s">
        <v>16</v>
      </c>
      <c r="Q133" s="132">
        <f>SUM(G132:P132)-F132</f>
        <v>0</v>
      </c>
    </row>
    <row r="135" ht="12.75">
      <c r="Q135" s="132">
        <f>SUM(G134:P134)-F134</f>
        <v>0</v>
      </c>
    </row>
    <row r="136" spans="6:17" ht="12.75">
      <c r="F136" s="123">
        <f>SUM(G130:P130)</f>
        <v>16686.295</v>
      </c>
      <c r="Q136" s="132">
        <f>SUM(G135:P135)-F135</f>
        <v>0</v>
      </c>
    </row>
    <row r="138" ht="12.75">
      <c r="Q138" s="132">
        <f>SUM(G137:P137)-F137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7:B17 B22:B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zoomScalePageLayoutView="0" workbookViewId="0" topLeftCell="A1">
      <pane ySplit="1" topLeftCell="A20" activePane="bottomLeft" state="frozen"/>
      <selection pane="topLeft" activeCell="A1" sqref="A1"/>
      <selection pane="bottomLeft" activeCell="F65" sqref="F65"/>
    </sheetView>
  </sheetViews>
  <sheetFormatPr defaultColWidth="9.140625" defaultRowHeight="12.75"/>
  <cols>
    <col min="1" max="1" width="11.421875" style="0" customWidth="1"/>
    <col min="2" max="2" width="26.421875" style="0" bestFit="1" customWidth="1"/>
    <col min="5" max="5" width="20.8515625" style="0" bestFit="1" customWidth="1"/>
    <col min="6" max="6" width="10.140625" style="24" bestFit="1" customWidth="1"/>
    <col min="9" max="9" width="10.8515625" style="0" customWidth="1"/>
    <col min="15" max="15" width="9.8515625" style="0" bestFit="1" customWidth="1"/>
    <col min="17" max="17" width="11.421875" style="0" customWidth="1"/>
    <col min="18" max="18" width="9.7109375" style="0" bestFit="1" customWidth="1"/>
  </cols>
  <sheetData>
    <row r="1" spans="1:17" ht="12.75">
      <c r="A1" t="s">
        <v>0</v>
      </c>
      <c r="B1" t="s">
        <v>5</v>
      </c>
      <c r="C1" t="s">
        <v>28</v>
      </c>
      <c r="D1" t="s">
        <v>30</v>
      </c>
      <c r="E1" t="s">
        <v>6</v>
      </c>
      <c r="F1" s="24" t="s">
        <v>18</v>
      </c>
      <c r="G1" t="s">
        <v>3</v>
      </c>
      <c r="H1" s="1" t="s">
        <v>77</v>
      </c>
      <c r="I1" s="1" t="s">
        <v>77</v>
      </c>
      <c r="J1" t="s">
        <v>19</v>
      </c>
      <c r="K1" t="s">
        <v>1</v>
      </c>
      <c r="L1" t="s">
        <v>4</v>
      </c>
      <c r="M1" t="s">
        <v>17</v>
      </c>
      <c r="N1" t="s">
        <v>11</v>
      </c>
      <c r="O1" t="s">
        <v>242</v>
      </c>
      <c r="P1" t="s">
        <v>2</v>
      </c>
      <c r="Q1" s="1" t="s">
        <v>76</v>
      </c>
    </row>
    <row r="2" spans="7:18" ht="12.75">
      <c r="G2" s="1"/>
      <c r="H2" s="1" t="s">
        <v>78</v>
      </c>
      <c r="I2" s="1" t="s">
        <v>241</v>
      </c>
      <c r="R2" s="34">
        <f aca="true" t="shared" si="0" ref="R2:R9">F2-SUM(G2:Q2)</f>
        <v>0</v>
      </c>
    </row>
    <row r="3" spans="1:18" ht="12.75">
      <c r="A3" s="23" t="s">
        <v>216</v>
      </c>
      <c r="B3" s="35" t="s">
        <v>163</v>
      </c>
      <c r="C3" s="23"/>
      <c r="D3" s="23"/>
      <c r="E3" s="23"/>
      <c r="F3" s="27">
        <v>20</v>
      </c>
      <c r="G3" s="23"/>
      <c r="H3" s="23"/>
      <c r="I3" s="23"/>
      <c r="J3" s="28"/>
      <c r="K3" s="23">
        <v>20</v>
      </c>
      <c r="L3" s="23"/>
      <c r="M3" s="23"/>
      <c r="N3" s="23"/>
      <c r="O3" s="23"/>
      <c r="P3" s="23"/>
      <c r="Q3" s="28"/>
      <c r="R3" s="34">
        <f t="shared" si="0"/>
        <v>0</v>
      </c>
    </row>
    <row r="4" spans="1:19" ht="12.75">
      <c r="A4" s="23" t="s">
        <v>217</v>
      </c>
      <c r="B4" s="23" t="s">
        <v>218</v>
      </c>
      <c r="C4" s="23"/>
      <c r="D4" s="23"/>
      <c r="E4" s="1" t="s">
        <v>219</v>
      </c>
      <c r="F4" s="27">
        <v>3750</v>
      </c>
      <c r="G4" s="28"/>
      <c r="H4" s="28"/>
      <c r="I4" s="28">
        <v>3750</v>
      </c>
      <c r="J4" s="23"/>
      <c r="K4" s="23"/>
      <c r="L4" s="23"/>
      <c r="M4" s="23"/>
      <c r="N4" s="23"/>
      <c r="O4" s="23"/>
      <c r="P4" s="23"/>
      <c r="Q4" s="28"/>
      <c r="R4" s="34">
        <f t="shared" si="0"/>
        <v>0</v>
      </c>
      <c r="S4" s="23"/>
    </row>
    <row r="5" spans="1:19" ht="12.75">
      <c r="A5" s="23" t="s">
        <v>263</v>
      </c>
      <c r="B5" s="23" t="s">
        <v>61</v>
      </c>
      <c r="C5" s="23"/>
      <c r="D5" s="23"/>
      <c r="E5" t="s">
        <v>262</v>
      </c>
      <c r="F5" s="27">
        <v>2063</v>
      </c>
      <c r="G5" s="28">
        <v>1875</v>
      </c>
      <c r="H5" s="28">
        <v>188</v>
      </c>
      <c r="I5" s="28"/>
      <c r="J5" s="23"/>
      <c r="K5" s="23"/>
      <c r="L5" s="23"/>
      <c r="M5" s="23"/>
      <c r="N5" s="23"/>
      <c r="O5" s="23"/>
      <c r="P5" s="23"/>
      <c r="Q5" s="28"/>
      <c r="R5" s="34">
        <f t="shared" si="0"/>
        <v>0</v>
      </c>
      <c r="S5" s="23"/>
    </row>
    <row r="6" spans="1:19" ht="12.75">
      <c r="A6" s="23"/>
      <c r="B6" s="23"/>
      <c r="C6" s="23"/>
      <c r="D6" s="23"/>
      <c r="F6" s="27"/>
      <c r="G6" s="28"/>
      <c r="H6" s="28"/>
      <c r="I6" s="28"/>
      <c r="J6" s="23"/>
      <c r="K6" s="23"/>
      <c r="L6" s="23"/>
      <c r="M6" s="23"/>
      <c r="N6" s="23"/>
      <c r="O6" s="23"/>
      <c r="P6" s="23"/>
      <c r="Q6" s="28"/>
      <c r="R6" s="34">
        <f t="shared" si="0"/>
        <v>0</v>
      </c>
      <c r="S6" s="23"/>
    </row>
    <row r="7" spans="1:19" ht="12.75">
      <c r="A7" s="32" t="s">
        <v>300</v>
      </c>
      <c r="B7" s="33"/>
      <c r="C7" s="33"/>
      <c r="D7" s="33"/>
      <c r="E7" s="33"/>
      <c r="F7" s="34">
        <f>SUM(F3:F5)</f>
        <v>5833</v>
      </c>
      <c r="G7" s="34">
        <f aca="true" t="shared" si="1" ref="G7:Q7">SUM(G3:G5)</f>
        <v>1875</v>
      </c>
      <c r="H7" s="34">
        <f t="shared" si="1"/>
        <v>188</v>
      </c>
      <c r="I7" s="34">
        <f>SUM(I3:I5)</f>
        <v>3750</v>
      </c>
      <c r="J7" s="34">
        <f t="shared" si="1"/>
        <v>0</v>
      </c>
      <c r="K7" s="34">
        <f t="shared" si="1"/>
        <v>20</v>
      </c>
      <c r="L7" s="34">
        <f t="shared" si="1"/>
        <v>0</v>
      </c>
      <c r="M7" s="34">
        <f t="shared" si="1"/>
        <v>0</v>
      </c>
      <c r="N7" s="34">
        <f t="shared" si="1"/>
        <v>0</v>
      </c>
      <c r="O7" s="34">
        <f t="shared" si="1"/>
        <v>0</v>
      </c>
      <c r="P7" s="34">
        <f>SUM(P3:P5)</f>
        <v>0</v>
      </c>
      <c r="Q7" s="34">
        <f t="shared" si="1"/>
        <v>0</v>
      </c>
      <c r="R7" s="34">
        <f t="shared" si="0"/>
        <v>0</v>
      </c>
      <c r="S7" s="23"/>
    </row>
    <row r="8" spans="1:19" ht="12.75">
      <c r="A8" s="36"/>
      <c r="B8" s="35"/>
      <c r="C8" s="35"/>
      <c r="D8" s="35"/>
      <c r="E8" s="35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4">
        <f t="shared" si="0"/>
        <v>0</v>
      </c>
      <c r="S8" s="23"/>
    </row>
    <row r="9" spans="1:19" ht="12.75">
      <c r="A9" s="44" t="s">
        <v>220</v>
      </c>
      <c r="B9" s="1" t="s">
        <v>221</v>
      </c>
      <c r="C9" s="1"/>
      <c r="E9" t="s">
        <v>219</v>
      </c>
      <c r="F9" s="24">
        <v>14000</v>
      </c>
      <c r="O9">
        <v>14000</v>
      </c>
      <c r="R9" s="34">
        <f t="shared" si="0"/>
        <v>0</v>
      </c>
      <c r="S9" s="23"/>
    </row>
    <row r="10" spans="1:19" ht="12.75">
      <c r="A10" s="23"/>
      <c r="B10" s="23"/>
      <c r="C10" s="23"/>
      <c r="D10" s="23"/>
      <c r="F10" s="27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8"/>
      <c r="R10" s="34">
        <f>F10-SUM(G10:Q10)</f>
        <v>0</v>
      </c>
      <c r="S10" s="23"/>
    </row>
    <row r="11" spans="1:22" s="22" customFormat="1" ht="15">
      <c r="A11" s="23"/>
      <c r="B11" s="23"/>
      <c r="C11" s="23"/>
      <c r="D11" s="23"/>
      <c r="E11" s="23"/>
      <c r="F11" s="27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"/>
      <c r="R11" s="34">
        <f aca="true" t="shared" si="2" ref="R11:R59">F11-SUM(G11:Q11)</f>
        <v>0</v>
      </c>
      <c r="S11" s="23"/>
      <c r="V11" s="42"/>
    </row>
    <row r="12" spans="1:22" ht="15">
      <c r="A12" s="32" t="s">
        <v>301</v>
      </c>
      <c r="B12" s="33"/>
      <c r="C12" s="33"/>
      <c r="D12" s="33"/>
      <c r="E12" s="33"/>
      <c r="F12" s="34">
        <f aca="true" t="shared" si="3" ref="F12:Q12">SUM(F8:F11)</f>
        <v>14000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  <c r="O12" s="34">
        <f t="shared" si="3"/>
        <v>14000</v>
      </c>
      <c r="P12" s="34">
        <f t="shared" si="3"/>
        <v>0</v>
      </c>
      <c r="Q12" s="34">
        <f t="shared" si="3"/>
        <v>0</v>
      </c>
      <c r="R12" s="34">
        <f t="shared" si="2"/>
        <v>0</v>
      </c>
      <c r="S12" s="34"/>
      <c r="V12" s="42"/>
    </row>
    <row r="13" spans="1:22" s="22" customFormat="1" ht="15">
      <c r="A13" s="23"/>
      <c r="B13" s="23"/>
      <c r="C13" s="23"/>
      <c r="D13" s="23"/>
      <c r="E13" s="23"/>
      <c r="F13" s="27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8"/>
      <c r="R13" s="34">
        <f t="shared" si="2"/>
        <v>0</v>
      </c>
      <c r="S13" s="23"/>
      <c r="V13" s="42"/>
    </row>
    <row r="14" spans="1:19" s="26" customFormat="1" ht="12.75">
      <c r="A14" s="44" t="s">
        <v>259</v>
      </c>
      <c r="B14" s="23" t="s">
        <v>260</v>
      </c>
      <c r="C14" s="23" t="s">
        <v>16</v>
      </c>
      <c r="D14" s="23"/>
      <c r="E14" s="1" t="s">
        <v>261</v>
      </c>
      <c r="F14" s="27">
        <v>304.49</v>
      </c>
      <c r="G14" s="23"/>
      <c r="H14" s="23"/>
      <c r="I14" s="23"/>
      <c r="J14" s="23"/>
      <c r="K14" s="23"/>
      <c r="L14" s="23"/>
      <c r="M14" s="23">
        <v>304.49</v>
      </c>
      <c r="N14" s="23"/>
      <c r="O14" s="23"/>
      <c r="P14" s="23"/>
      <c r="Q14" s="28"/>
      <c r="R14" s="34">
        <f t="shared" si="2"/>
        <v>0</v>
      </c>
      <c r="S14" s="23"/>
    </row>
    <row r="15" spans="1:19" s="26" customFormat="1" ht="12.75">
      <c r="A15" s="23" t="s">
        <v>294</v>
      </c>
      <c r="B15" s="23" t="s">
        <v>173</v>
      </c>
      <c r="C15" s="23" t="s">
        <v>16</v>
      </c>
      <c r="D15" s="23"/>
      <c r="E15" s="23" t="s">
        <v>295</v>
      </c>
      <c r="F15" s="27">
        <v>260.3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8">
        <v>260.3</v>
      </c>
      <c r="R15" s="34">
        <f t="shared" si="2"/>
        <v>0</v>
      </c>
      <c r="S15" s="23"/>
    </row>
    <row r="16" spans="1:19" s="26" customFormat="1" ht="12.75">
      <c r="A16" s="23" t="s">
        <v>296</v>
      </c>
      <c r="B16" s="23" t="s">
        <v>219</v>
      </c>
      <c r="C16" s="23" t="s">
        <v>16</v>
      </c>
      <c r="D16" s="23"/>
      <c r="E16" s="23" t="s">
        <v>297</v>
      </c>
      <c r="F16" s="27">
        <v>6450</v>
      </c>
      <c r="G16" s="23"/>
      <c r="H16" s="23"/>
      <c r="I16" s="23"/>
      <c r="J16" s="23"/>
      <c r="K16" s="23"/>
      <c r="L16" s="23"/>
      <c r="M16" s="23"/>
      <c r="N16" s="23"/>
      <c r="O16" s="28">
        <v>6450</v>
      </c>
      <c r="P16" s="28"/>
      <c r="Q16" s="28"/>
      <c r="R16" s="34">
        <f t="shared" si="2"/>
        <v>0</v>
      </c>
      <c r="S16" s="23"/>
    </row>
    <row r="17" spans="1:19" s="26" customFormat="1" ht="12.75">
      <c r="A17" s="23"/>
      <c r="B17" s="23"/>
      <c r="C17" s="23"/>
      <c r="D17" s="23"/>
      <c r="E17" s="23"/>
      <c r="F17" s="27"/>
      <c r="G17" s="23"/>
      <c r="H17" s="23"/>
      <c r="I17" s="23"/>
      <c r="J17" s="23"/>
      <c r="K17" s="23"/>
      <c r="L17" s="23"/>
      <c r="M17" s="23"/>
      <c r="N17" s="23"/>
      <c r="O17" s="28"/>
      <c r="P17" s="28"/>
      <c r="Q17" s="28"/>
      <c r="R17" s="34">
        <f t="shared" si="2"/>
        <v>0</v>
      </c>
      <c r="S17" s="23"/>
    </row>
    <row r="18" spans="1:19" s="26" customFormat="1" ht="12.75">
      <c r="A18" s="32" t="s">
        <v>302</v>
      </c>
      <c r="B18" s="33"/>
      <c r="C18" s="33"/>
      <c r="D18" s="33"/>
      <c r="E18" s="33"/>
      <c r="F18" s="34">
        <f>SUM(F14:F17)</f>
        <v>7014.79</v>
      </c>
      <c r="G18" s="34">
        <f>SUM(G14:G17)</f>
        <v>0</v>
      </c>
      <c r="H18" s="34"/>
      <c r="I18" s="34"/>
      <c r="J18" s="34">
        <f aca="true" t="shared" si="4" ref="J18:Q18">SUM(J14:J17)</f>
        <v>0</v>
      </c>
      <c r="K18" s="34">
        <f t="shared" si="4"/>
        <v>0</v>
      </c>
      <c r="L18" s="34">
        <f t="shared" si="4"/>
        <v>0</v>
      </c>
      <c r="M18" s="34">
        <f t="shared" si="4"/>
        <v>304.49</v>
      </c>
      <c r="N18" s="34">
        <f t="shared" si="4"/>
        <v>0</v>
      </c>
      <c r="O18" s="34">
        <f t="shared" si="4"/>
        <v>6450</v>
      </c>
      <c r="P18" s="34">
        <f>SUM(P14:P17)</f>
        <v>0</v>
      </c>
      <c r="Q18" s="34">
        <f t="shared" si="4"/>
        <v>260.3</v>
      </c>
      <c r="R18" s="34">
        <f t="shared" si="2"/>
        <v>0</v>
      </c>
      <c r="S18" s="23"/>
    </row>
    <row r="19" spans="1:19" s="26" customFormat="1" ht="12.75">
      <c r="A19" s="36"/>
      <c r="B19" s="35"/>
      <c r="C19" s="35"/>
      <c r="D19" s="35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4">
        <f t="shared" si="2"/>
        <v>0</v>
      </c>
      <c r="S19" s="23"/>
    </row>
    <row r="20" spans="1:19" s="26" customFormat="1" ht="12.75">
      <c r="A20" s="35" t="s">
        <v>304</v>
      </c>
      <c r="B20" s="35" t="s">
        <v>305</v>
      </c>
      <c r="C20" s="35" t="s">
        <v>16</v>
      </c>
      <c r="D20" s="35"/>
      <c r="E20" s="35"/>
      <c r="F20" s="37">
        <v>6653.09</v>
      </c>
      <c r="G20" s="37"/>
      <c r="H20" s="37"/>
      <c r="I20" s="37"/>
      <c r="J20" s="37"/>
      <c r="K20" s="37"/>
      <c r="L20" s="37"/>
      <c r="M20" s="37"/>
      <c r="N20" s="37">
        <v>6653.09</v>
      </c>
      <c r="O20" s="37"/>
      <c r="P20" s="37"/>
      <c r="Q20" s="37"/>
      <c r="R20" s="34">
        <f t="shared" si="2"/>
        <v>0</v>
      </c>
      <c r="S20" s="23"/>
    </row>
    <row r="21" spans="1:19" s="26" customFormat="1" ht="12.75">
      <c r="A21" s="38" t="s">
        <v>306</v>
      </c>
      <c r="B21" s="23" t="s">
        <v>219</v>
      </c>
      <c r="C21" s="23"/>
      <c r="D21" s="23"/>
      <c r="E21" s="23"/>
      <c r="F21" s="2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8"/>
      <c r="R21" s="34">
        <f t="shared" si="2"/>
        <v>0</v>
      </c>
      <c r="S21" s="23"/>
    </row>
    <row r="22" spans="1:19" s="26" customFormat="1" ht="12.75">
      <c r="A22" s="44"/>
      <c r="B22" s="23"/>
      <c r="C22" s="23"/>
      <c r="D22" s="23"/>
      <c r="E22" s="23" t="s">
        <v>307</v>
      </c>
      <c r="F22" s="27">
        <f>0.19+0.28+0.31</f>
        <v>0.78</v>
      </c>
      <c r="G22" s="23"/>
      <c r="H22" s="23"/>
      <c r="I22" s="23"/>
      <c r="J22" s="23">
        <v>0.78</v>
      </c>
      <c r="K22" s="23"/>
      <c r="L22" s="23"/>
      <c r="M22" s="23"/>
      <c r="N22" s="23"/>
      <c r="O22" s="23"/>
      <c r="P22" s="23"/>
      <c r="Q22" s="28"/>
      <c r="R22" s="34">
        <f t="shared" si="2"/>
        <v>0</v>
      </c>
      <c r="S22" s="23"/>
    </row>
    <row r="23" spans="1:20" s="22" customFormat="1" ht="12.75">
      <c r="A23" s="32" t="s">
        <v>303</v>
      </c>
      <c r="B23" s="32" t="s">
        <v>180</v>
      </c>
      <c r="C23" s="33"/>
      <c r="D23" s="33"/>
      <c r="E23" s="33"/>
      <c r="F23" s="34">
        <f>SUM(F19:F22)</f>
        <v>6653.87</v>
      </c>
      <c r="G23" s="34">
        <f aca="true" t="shared" si="5" ref="G23:Q23">SUM(G19:G22)</f>
        <v>0</v>
      </c>
      <c r="H23" s="34">
        <f t="shared" si="5"/>
        <v>0</v>
      </c>
      <c r="I23" s="34">
        <f t="shared" si="5"/>
        <v>0</v>
      </c>
      <c r="J23" s="34">
        <f t="shared" si="5"/>
        <v>0.78</v>
      </c>
      <c r="K23" s="34">
        <f t="shared" si="5"/>
        <v>0</v>
      </c>
      <c r="L23" s="34">
        <f t="shared" si="5"/>
        <v>0</v>
      </c>
      <c r="M23" s="34">
        <f t="shared" si="5"/>
        <v>0</v>
      </c>
      <c r="N23" s="34">
        <f t="shared" si="5"/>
        <v>6653.09</v>
      </c>
      <c r="O23" s="34">
        <f t="shared" si="5"/>
        <v>0</v>
      </c>
      <c r="P23" s="34">
        <f t="shared" si="5"/>
        <v>0</v>
      </c>
      <c r="Q23" s="34">
        <f t="shared" si="5"/>
        <v>0</v>
      </c>
      <c r="R23" s="34">
        <f t="shared" si="2"/>
        <v>0</v>
      </c>
      <c r="S23" s="23"/>
      <c r="T23" s="22" t="s">
        <v>16</v>
      </c>
    </row>
    <row r="24" spans="1:19" s="22" customFormat="1" ht="12.75">
      <c r="A24" s="23"/>
      <c r="B24" s="23"/>
      <c r="C24" s="23"/>
      <c r="D24" s="23"/>
      <c r="E24" s="23"/>
      <c r="F24" s="27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8"/>
      <c r="R24" s="34">
        <f t="shared" si="2"/>
        <v>0</v>
      </c>
      <c r="S24" s="23"/>
    </row>
    <row r="25" spans="1:19" ht="12.75">
      <c r="A25" s="23"/>
      <c r="B25" s="23"/>
      <c r="C25" s="23"/>
      <c r="D25" s="23"/>
      <c r="E25" s="23"/>
      <c r="F25" s="27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8"/>
      <c r="R25" s="34">
        <f t="shared" si="2"/>
        <v>0</v>
      </c>
      <c r="S25" s="23"/>
    </row>
    <row r="26" spans="1:19" ht="12.75">
      <c r="A26" s="23" t="s">
        <v>316</v>
      </c>
      <c r="B26" s="23" t="s">
        <v>317</v>
      </c>
      <c r="C26" s="23" t="s">
        <v>16</v>
      </c>
      <c r="D26" s="23"/>
      <c r="E26" s="23"/>
      <c r="F26" s="27">
        <v>250.12</v>
      </c>
      <c r="G26" s="23"/>
      <c r="H26" s="23"/>
      <c r="I26" s="23"/>
      <c r="J26" s="23"/>
      <c r="K26" s="23"/>
      <c r="L26" s="23"/>
      <c r="M26" s="23"/>
      <c r="N26" s="23"/>
      <c r="O26" s="23"/>
      <c r="P26" s="23">
        <v>250.12</v>
      </c>
      <c r="Q26" s="28"/>
      <c r="R26" s="34">
        <f t="shared" si="2"/>
        <v>0</v>
      </c>
      <c r="S26" s="23"/>
    </row>
    <row r="27" spans="1:21" ht="12.75">
      <c r="A27" s="23" t="s">
        <v>318</v>
      </c>
      <c r="B27" s="23" t="s">
        <v>173</v>
      </c>
      <c r="C27" s="23" t="s">
        <v>16</v>
      </c>
      <c r="D27" s="23"/>
      <c r="E27" s="23" t="s">
        <v>76</v>
      </c>
      <c r="F27" s="27">
        <v>331.48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8">
        <v>331.48</v>
      </c>
      <c r="R27" s="34">
        <f t="shared" si="2"/>
        <v>0</v>
      </c>
      <c r="S27" s="23"/>
      <c r="U27">
        <f>697.5/31</f>
        <v>22.5</v>
      </c>
    </row>
    <row r="28" spans="1:19" ht="12.75">
      <c r="A28" s="23" t="s">
        <v>319</v>
      </c>
      <c r="B28" s="23" t="s">
        <v>161</v>
      </c>
      <c r="C28" s="23" t="s">
        <v>16</v>
      </c>
      <c r="D28" s="23"/>
      <c r="E28" s="23"/>
      <c r="F28" s="27">
        <v>0.96</v>
      </c>
      <c r="G28" s="23"/>
      <c r="H28" s="23"/>
      <c r="I28" s="23"/>
      <c r="J28" s="23">
        <v>0.96</v>
      </c>
      <c r="K28" s="23"/>
      <c r="L28" s="23"/>
      <c r="M28" s="23"/>
      <c r="N28" s="23"/>
      <c r="O28" s="23"/>
      <c r="P28" s="23"/>
      <c r="Q28" s="28"/>
      <c r="R28" s="34">
        <f t="shared" si="2"/>
        <v>0</v>
      </c>
      <c r="S28" s="23"/>
    </row>
    <row r="29" spans="1:20" ht="12.75">
      <c r="A29" s="32" t="s">
        <v>35</v>
      </c>
      <c r="B29" s="33" t="s">
        <v>121</v>
      </c>
      <c r="C29" s="33"/>
      <c r="D29" s="33"/>
      <c r="E29" s="33"/>
      <c r="F29" s="34">
        <f>SUM(F24:F28)</f>
        <v>582.5600000000001</v>
      </c>
      <c r="G29" s="34">
        <f aca="true" t="shared" si="6" ref="G29:Q29">SUM(G24:G28)</f>
        <v>0</v>
      </c>
      <c r="H29" s="34">
        <f t="shared" si="6"/>
        <v>0</v>
      </c>
      <c r="I29" s="34">
        <f>SUM(I24:I28)</f>
        <v>0</v>
      </c>
      <c r="J29" s="34">
        <f t="shared" si="6"/>
        <v>0.96</v>
      </c>
      <c r="K29" s="34">
        <f t="shared" si="6"/>
        <v>0</v>
      </c>
      <c r="L29" s="34">
        <f t="shared" si="6"/>
        <v>0</v>
      </c>
      <c r="M29" s="34">
        <f t="shared" si="6"/>
        <v>0</v>
      </c>
      <c r="N29" s="34">
        <f t="shared" si="6"/>
        <v>0</v>
      </c>
      <c r="O29" s="34">
        <f t="shared" si="6"/>
        <v>0</v>
      </c>
      <c r="P29" s="34">
        <f>SUM(P24:P28)</f>
        <v>250.12</v>
      </c>
      <c r="Q29" s="34">
        <f t="shared" si="6"/>
        <v>331.48</v>
      </c>
      <c r="R29" s="34">
        <f t="shared" si="2"/>
        <v>0</v>
      </c>
      <c r="S29" s="23"/>
      <c r="T29" t="s">
        <v>16</v>
      </c>
    </row>
    <row r="30" spans="1:19" ht="12.75">
      <c r="A30" s="23"/>
      <c r="B30" s="23"/>
      <c r="C30" s="23"/>
      <c r="D30" s="23"/>
      <c r="E30" s="23"/>
      <c r="F30" s="27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8"/>
      <c r="R30" s="34">
        <f t="shared" si="2"/>
        <v>0</v>
      </c>
      <c r="S30" s="23"/>
    </row>
    <row r="31" spans="1:19" ht="12.75">
      <c r="A31" s="23" t="s">
        <v>323</v>
      </c>
      <c r="B31" s="23" t="s">
        <v>61</v>
      </c>
      <c r="C31" s="23"/>
      <c r="D31" s="23"/>
      <c r="E31" s="23" t="s">
        <v>322</v>
      </c>
      <c r="F31" s="27">
        <v>2062</v>
      </c>
      <c r="G31" s="23">
        <v>1875</v>
      </c>
      <c r="H31" s="23">
        <v>187</v>
      </c>
      <c r="I31" s="23"/>
      <c r="J31" s="23"/>
      <c r="K31" s="23"/>
      <c r="L31" s="23"/>
      <c r="M31" s="23"/>
      <c r="N31" s="23"/>
      <c r="O31" s="23"/>
      <c r="P31" s="23"/>
      <c r="Q31" s="28"/>
      <c r="R31" s="34">
        <f t="shared" si="2"/>
        <v>0</v>
      </c>
      <c r="S31" s="23"/>
    </row>
    <row r="32" spans="1:19" ht="12.75">
      <c r="A32" s="23" t="s">
        <v>324</v>
      </c>
      <c r="B32" s="23" t="s">
        <v>325</v>
      </c>
      <c r="C32" s="23"/>
      <c r="D32" s="23"/>
      <c r="E32" s="23" t="s">
        <v>326</v>
      </c>
      <c r="F32" s="27">
        <v>400</v>
      </c>
      <c r="G32" s="23"/>
      <c r="H32" s="23"/>
      <c r="I32" s="23"/>
      <c r="J32" s="23"/>
      <c r="K32" s="23"/>
      <c r="L32" s="23"/>
      <c r="M32" s="23"/>
      <c r="N32" s="23"/>
      <c r="O32" s="23"/>
      <c r="P32" s="23">
        <v>400</v>
      </c>
      <c r="Q32" s="28"/>
      <c r="R32" s="34">
        <f t="shared" si="2"/>
        <v>0</v>
      </c>
      <c r="S32" s="23"/>
    </row>
    <row r="33" spans="1:20" ht="12.75">
      <c r="A33" s="32" t="s">
        <v>35</v>
      </c>
      <c r="B33" s="33" t="s">
        <v>39</v>
      </c>
      <c r="C33" s="33"/>
      <c r="D33" s="33"/>
      <c r="E33" s="33"/>
      <c r="F33" s="34">
        <f>SUM(F30:F32)</f>
        <v>2462</v>
      </c>
      <c r="G33" s="34">
        <f>G31</f>
        <v>1875</v>
      </c>
      <c r="H33" s="34">
        <f aca="true" t="shared" si="7" ref="H33:Q33">SUM(H30:H32)</f>
        <v>187</v>
      </c>
      <c r="I33" s="34"/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34">
        <f t="shared" si="7"/>
        <v>0</v>
      </c>
      <c r="O33" s="34">
        <f t="shared" si="7"/>
        <v>0</v>
      </c>
      <c r="P33" s="34">
        <f>SUM(P30:P32)</f>
        <v>400</v>
      </c>
      <c r="Q33" s="34">
        <f t="shared" si="7"/>
        <v>0</v>
      </c>
      <c r="R33" s="34">
        <f t="shared" si="2"/>
        <v>0</v>
      </c>
      <c r="S33" s="23"/>
      <c r="T33" t="s">
        <v>16</v>
      </c>
    </row>
    <row r="34" spans="1:19" ht="12.75">
      <c r="A34" s="23"/>
      <c r="B34" s="35"/>
      <c r="C34" s="23"/>
      <c r="D34" s="23"/>
      <c r="E34" s="23"/>
      <c r="F34" s="27"/>
      <c r="G34" s="23"/>
      <c r="H34" s="23"/>
      <c r="I34" s="23"/>
      <c r="J34" s="28"/>
      <c r="K34" s="23"/>
      <c r="L34" s="23"/>
      <c r="M34" s="23"/>
      <c r="N34" s="23"/>
      <c r="O34" s="23"/>
      <c r="P34" s="23"/>
      <c r="Q34" s="28"/>
      <c r="R34" s="34">
        <f t="shared" si="2"/>
        <v>0</v>
      </c>
      <c r="S34" s="23"/>
    </row>
    <row r="35" spans="1:19" ht="12.75">
      <c r="A35" s="23"/>
      <c r="B35" s="35"/>
      <c r="C35" s="23"/>
      <c r="D35" s="23"/>
      <c r="E35" s="23"/>
      <c r="F35" s="27"/>
      <c r="G35" s="23"/>
      <c r="H35" s="23"/>
      <c r="I35" s="23"/>
      <c r="J35" s="28"/>
      <c r="K35" s="23"/>
      <c r="L35" s="23"/>
      <c r="M35" s="23"/>
      <c r="N35" s="23"/>
      <c r="O35" s="23"/>
      <c r="P35" s="23"/>
      <c r="Q35" s="28"/>
      <c r="R35" s="34">
        <f t="shared" si="2"/>
        <v>0</v>
      </c>
      <c r="S35" s="23"/>
    </row>
    <row r="36" spans="1:19" ht="12.75">
      <c r="A36" s="23" t="s">
        <v>335</v>
      </c>
      <c r="B36" s="35" t="s">
        <v>334</v>
      </c>
      <c r="C36" s="23" t="s">
        <v>16</v>
      </c>
      <c r="D36" s="23"/>
      <c r="E36" s="23" t="s">
        <v>89</v>
      </c>
      <c r="F36" s="27">
        <v>256.38</v>
      </c>
      <c r="G36" s="23"/>
      <c r="H36" s="23"/>
      <c r="I36" s="23"/>
      <c r="J36" s="28"/>
      <c r="K36" s="23"/>
      <c r="L36" s="23"/>
      <c r="M36" s="23"/>
      <c r="N36" s="23"/>
      <c r="O36" s="23"/>
      <c r="P36" s="23">
        <v>256.38</v>
      </c>
      <c r="Q36" s="28"/>
      <c r="R36" s="34">
        <f t="shared" si="2"/>
        <v>0</v>
      </c>
      <c r="S36" s="23"/>
    </row>
    <row r="37" spans="1:19" ht="12.75">
      <c r="A37" s="23" t="s">
        <v>144</v>
      </c>
      <c r="B37" s="35" t="s">
        <v>71</v>
      </c>
      <c r="C37" s="23" t="s">
        <v>16</v>
      </c>
      <c r="D37" s="23"/>
      <c r="E37" s="23" t="s">
        <v>336</v>
      </c>
      <c r="F37" s="27">
        <v>99.14</v>
      </c>
      <c r="G37" s="23"/>
      <c r="H37" s="23"/>
      <c r="I37" s="23"/>
      <c r="J37" s="28"/>
      <c r="K37" s="23"/>
      <c r="L37" s="23"/>
      <c r="M37" s="23"/>
      <c r="N37" s="23"/>
      <c r="O37" s="23"/>
      <c r="P37" s="23"/>
      <c r="Q37" s="28">
        <v>99.14</v>
      </c>
      <c r="R37" s="34">
        <f t="shared" si="2"/>
        <v>0</v>
      </c>
      <c r="S37" s="23"/>
    </row>
    <row r="38" spans="1:19" ht="12.75">
      <c r="A38" s="23"/>
      <c r="B38" s="35"/>
      <c r="C38" s="23"/>
      <c r="D38" s="23"/>
      <c r="E38" s="23"/>
      <c r="F38" s="27"/>
      <c r="G38" s="23"/>
      <c r="H38" s="23"/>
      <c r="I38" s="23"/>
      <c r="J38" s="28"/>
      <c r="K38" s="23"/>
      <c r="L38" s="23"/>
      <c r="M38" s="23"/>
      <c r="N38" s="23"/>
      <c r="O38" s="23"/>
      <c r="P38" s="23"/>
      <c r="Q38" s="28"/>
      <c r="R38" s="34">
        <f t="shared" si="2"/>
        <v>0</v>
      </c>
      <c r="S38" s="23"/>
    </row>
    <row r="39" spans="1:19" ht="12.75">
      <c r="A39" s="23"/>
      <c r="B39" s="35"/>
      <c r="C39" s="23"/>
      <c r="D39" s="23"/>
      <c r="E39" s="23"/>
      <c r="F39" s="27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8"/>
      <c r="R39" s="34">
        <f t="shared" si="2"/>
        <v>0</v>
      </c>
      <c r="S39" s="23"/>
    </row>
    <row r="40" spans="1:20" ht="12.75">
      <c r="A40" s="32" t="s">
        <v>35</v>
      </c>
      <c r="B40" s="33" t="s">
        <v>40</v>
      </c>
      <c r="C40" s="33"/>
      <c r="D40" s="33"/>
      <c r="E40" s="33"/>
      <c r="F40" s="34">
        <f>SUM(F34:F39)</f>
        <v>355.52</v>
      </c>
      <c r="G40" s="34">
        <f aca="true" t="shared" si="8" ref="G40:Q40">SUM(G34:G39)</f>
        <v>0</v>
      </c>
      <c r="H40" s="34"/>
      <c r="I40" s="34"/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>SUM(P34:P39)</f>
        <v>256.38</v>
      </c>
      <c r="Q40" s="34">
        <f t="shared" si="8"/>
        <v>99.14</v>
      </c>
      <c r="R40" s="34">
        <f t="shared" si="2"/>
        <v>0</v>
      </c>
      <c r="S40" s="23"/>
      <c r="T40" t="s">
        <v>16</v>
      </c>
    </row>
    <row r="41" spans="1:19" ht="12.75">
      <c r="A41" s="23"/>
      <c r="B41" s="35"/>
      <c r="C41" s="23"/>
      <c r="D41" s="23"/>
      <c r="E41" s="23"/>
      <c r="F41" s="27"/>
      <c r="G41" s="23"/>
      <c r="H41" s="23"/>
      <c r="I41" s="23"/>
      <c r="J41" s="28"/>
      <c r="K41" s="23"/>
      <c r="L41" s="23"/>
      <c r="M41" s="23"/>
      <c r="N41" s="23"/>
      <c r="O41" s="23"/>
      <c r="P41" s="23"/>
      <c r="Q41" s="28"/>
      <c r="R41" s="34">
        <f t="shared" si="2"/>
        <v>0</v>
      </c>
      <c r="S41" s="23"/>
    </row>
    <row r="42" spans="1:19" ht="12.75">
      <c r="A42" s="23"/>
      <c r="B42" s="35"/>
      <c r="C42" s="23"/>
      <c r="D42" s="23"/>
      <c r="E42" s="23"/>
      <c r="F42" s="27"/>
      <c r="G42" s="23"/>
      <c r="H42" s="23"/>
      <c r="I42" s="23"/>
      <c r="J42" s="28"/>
      <c r="K42" s="23"/>
      <c r="L42" s="23"/>
      <c r="M42" s="23"/>
      <c r="N42" s="23"/>
      <c r="O42" s="23"/>
      <c r="P42" s="23"/>
      <c r="Q42" s="28"/>
      <c r="R42" s="34">
        <f t="shared" si="2"/>
        <v>0</v>
      </c>
      <c r="S42" s="23"/>
    </row>
    <row r="43" spans="2:18" ht="12.75">
      <c r="B43" t="s">
        <v>346</v>
      </c>
      <c r="C43" t="s">
        <v>16</v>
      </c>
      <c r="F43" s="24">
        <v>3.18</v>
      </c>
      <c r="J43">
        <v>3.18</v>
      </c>
      <c r="R43" s="34">
        <f t="shared" si="2"/>
        <v>0</v>
      </c>
    </row>
    <row r="44" spans="1:19" ht="12.75">
      <c r="A44" s="23"/>
      <c r="B44" s="35"/>
      <c r="C44" s="23"/>
      <c r="D44" s="23"/>
      <c r="E44" s="23"/>
      <c r="F44" s="27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8"/>
      <c r="R44" s="34">
        <f t="shared" si="2"/>
        <v>0</v>
      </c>
      <c r="S44" s="23"/>
    </row>
    <row r="45" spans="1:20" ht="12.75">
      <c r="A45" s="32" t="s">
        <v>35</v>
      </c>
      <c r="B45" s="33" t="s">
        <v>146</v>
      </c>
      <c r="C45" s="33"/>
      <c r="D45" s="33"/>
      <c r="E45" s="33"/>
      <c r="F45" s="34">
        <v>3.18</v>
      </c>
      <c r="G45" s="34">
        <f aca="true" t="shared" si="9" ref="G45:Q45">SUM(G41:G44)</f>
        <v>0</v>
      </c>
      <c r="H45" s="34"/>
      <c r="I45" s="34"/>
      <c r="J45" s="34">
        <f>SUM(J41:J44)</f>
        <v>3.18</v>
      </c>
      <c r="K45" s="34">
        <f t="shared" si="9"/>
        <v>0</v>
      </c>
      <c r="L45" s="34">
        <f t="shared" si="9"/>
        <v>0</v>
      </c>
      <c r="M45" s="34">
        <f t="shared" si="9"/>
        <v>0</v>
      </c>
      <c r="N45" s="34">
        <f t="shared" si="9"/>
        <v>0</v>
      </c>
      <c r="O45" s="34">
        <f t="shared" si="9"/>
        <v>0</v>
      </c>
      <c r="P45" s="34">
        <f>SUM(P41:P44)</f>
        <v>0</v>
      </c>
      <c r="Q45" s="34">
        <f t="shared" si="9"/>
        <v>0</v>
      </c>
      <c r="R45" s="34">
        <f t="shared" si="2"/>
        <v>0</v>
      </c>
      <c r="S45" s="23"/>
      <c r="T45" t="s">
        <v>16</v>
      </c>
    </row>
    <row r="46" spans="1:18" ht="12.75">
      <c r="A46" s="22"/>
      <c r="B46" s="35"/>
      <c r="C46" s="22"/>
      <c r="D46" s="22"/>
      <c r="E46" s="22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34">
        <f t="shared" si="2"/>
        <v>0</v>
      </c>
    </row>
    <row r="47" spans="1:19" ht="12.75">
      <c r="A47" s="23" t="s">
        <v>147</v>
      </c>
      <c r="B47" s="35" t="s">
        <v>347</v>
      </c>
      <c r="C47" s="23"/>
      <c r="D47" s="23"/>
      <c r="E47" s="23"/>
      <c r="F47" s="27">
        <v>10</v>
      </c>
      <c r="G47" s="23"/>
      <c r="H47" s="23"/>
      <c r="I47" s="23"/>
      <c r="J47" s="28"/>
      <c r="K47" s="23">
        <v>10</v>
      </c>
      <c r="L47" s="23"/>
      <c r="M47" s="23"/>
      <c r="N47" s="23"/>
      <c r="O47" s="23"/>
      <c r="P47" s="23"/>
      <c r="Q47" s="28"/>
      <c r="R47" s="34">
        <f t="shared" si="2"/>
        <v>0</v>
      </c>
      <c r="S47" s="23"/>
    </row>
    <row r="48" spans="1:18" ht="12.75">
      <c r="A48" s="22" t="s">
        <v>147</v>
      </c>
      <c r="B48" s="35" t="s">
        <v>348</v>
      </c>
      <c r="C48" s="22"/>
      <c r="D48" s="22"/>
      <c r="E48" s="22"/>
      <c r="F48" s="25">
        <v>170</v>
      </c>
      <c r="G48" s="22"/>
      <c r="H48" s="22"/>
      <c r="I48" s="22"/>
      <c r="J48" s="22"/>
      <c r="K48" s="22">
        <v>170</v>
      </c>
      <c r="L48" s="22"/>
      <c r="M48" s="22"/>
      <c r="N48" s="22"/>
      <c r="O48" s="22"/>
      <c r="P48" s="22"/>
      <c r="Q48" s="22"/>
      <c r="R48" s="34">
        <f t="shared" si="2"/>
        <v>0</v>
      </c>
    </row>
    <row r="49" spans="1:20" ht="12.75">
      <c r="A49" s="32" t="s">
        <v>35</v>
      </c>
      <c r="B49" s="33" t="s">
        <v>147</v>
      </c>
      <c r="C49" s="33"/>
      <c r="D49" s="33"/>
      <c r="E49" s="33"/>
      <c r="F49" s="34">
        <f>SUM(F46:F48)</f>
        <v>180</v>
      </c>
      <c r="G49" s="34">
        <f aca="true" t="shared" si="10" ref="G49:Q49">SUM(G46:G48)</f>
        <v>0</v>
      </c>
      <c r="H49" s="34"/>
      <c r="I49" s="34"/>
      <c r="J49" s="34">
        <f t="shared" si="10"/>
        <v>0</v>
      </c>
      <c r="K49" s="34">
        <f t="shared" si="10"/>
        <v>180</v>
      </c>
      <c r="L49" s="34">
        <f t="shared" si="10"/>
        <v>0</v>
      </c>
      <c r="M49" s="34">
        <f t="shared" si="10"/>
        <v>0</v>
      </c>
      <c r="N49" s="34">
        <f t="shared" si="10"/>
        <v>0</v>
      </c>
      <c r="O49" s="34">
        <f t="shared" si="10"/>
        <v>0</v>
      </c>
      <c r="P49" s="34">
        <f>SUM(P46:P48)</f>
        <v>0</v>
      </c>
      <c r="Q49" s="34">
        <f t="shared" si="10"/>
        <v>0</v>
      </c>
      <c r="R49" s="34">
        <f t="shared" si="2"/>
        <v>0</v>
      </c>
      <c r="S49" s="23"/>
      <c r="T49" t="s">
        <v>16</v>
      </c>
    </row>
    <row r="50" spans="1:18" ht="12.75">
      <c r="A50" s="22"/>
      <c r="B50" s="35"/>
      <c r="C50" s="22"/>
      <c r="D50" s="22"/>
      <c r="E50" s="22"/>
      <c r="F50" s="25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34">
        <f t="shared" si="2"/>
        <v>0</v>
      </c>
    </row>
    <row r="51" spans="1:18" ht="12.75">
      <c r="A51" s="22" t="s">
        <v>351</v>
      </c>
      <c r="B51" s="35" t="s">
        <v>352</v>
      </c>
      <c r="C51" s="22" t="s">
        <v>16</v>
      </c>
      <c r="D51" s="22"/>
      <c r="E51" s="22" t="s">
        <v>353</v>
      </c>
      <c r="F51" s="25">
        <v>3750</v>
      </c>
      <c r="G51" s="22"/>
      <c r="H51" s="22">
        <v>3750</v>
      </c>
      <c r="I51" s="22"/>
      <c r="J51" s="22"/>
      <c r="K51" s="22"/>
      <c r="L51" s="22"/>
      <c r="M51" s="22"/>
      <c r="N51" s="22"/>
      <c r="O51" s="22"/>
      <c r="P51" s="22"/>
      <c r="Q51" s="22"/>
      <c r="R51" s="34">
        <f t="shared" si="2"/>
        <v>0</v>
      </c>
    </row>
    <row r="52" spans="1:18" ht="12.75">
      <c r="A52" s="22" t="s">
        <v>349</v>
      </c>
      <c r="B52" s="35"/>
      <c r="C52" s="22"/>
      <c r="D52" s="22"/>
      <c r="E52" s="22"/>
      <c r="F52" s="25">
        <v>10</v>
      </c>
      <c r="G52" s="22"/>
      <c r="H52" s="22"/>
      <c r="I52" s="22"/>
      <c r="J52" s="22"/>
      <c r="K52" s="22">
        <v>10</v>
      </c>
      <c r="L52" s="22"/>
      <c r="M52" s="22"/>
      <c r="N52" s="22"/>
      <c r="O52" s="22"/>
      <c r="P52" s="22"/>
      <c r="Q52" s="22"/>
      <c r="R52" s="34">
        <f t="shared" si="2"/>
        <v>0</v>
      </c>
    </row>
    <row r="53" spans="1:18" ht="12.75">
      <c r="A53" s="22" t="s">
        <v>351</v>
      </c>
      <c r="B53" s="35"/>
      <c r="C53" s="22"/>
      <c r="D53" s="22"/>
      <c r="E53" s="22"/>
      <c r="F53" s="25">
        <v>25</v>
      </c>
      <c r="G53" s="22"/>
      <c r="H53" s="22"/>
      <c r="I53" s="22"/>
      <c r="J53" s="22"/>
      <c r="K53" s="22">
        <v>25</v>
      </c>
      <c r="L53" s="22"/>
      <c r="M53" s="22"/>
      <c r="N53" s="22"/>
      <c r="O53" s="22"/>
      <c r="P53" s="22"/>
      <c r="Q53" s="22"/>
      <c r="R53" s="34">
        <f t="shared" si="2"/>
        <v>0</v>
      </c>
    </row>
    <row r="54" spans="18:19" ht="12.75">
      <c r="R54" s="34">
        <f t="shared" si="2"/>
        <v>0</v>
      </c>
      <c r="S54" s="23"/>
    </row>
    <row r="55" spans="1:20" ht="12.75">
      <c r="A55" s="32" t="s">
        <v>35</v>
      </c>
      <c r="B55" s="33" t="s">
        <v>359</v>
      </c>
      <c r="C55" s="33"/>
      <c r="D55" s="33"/>
      <c r="E55" s="33"/>
      <c r="F55" s="34">
        <f>SUM(F50:F54)</f>
        <v>3785</v>
      </c>
      <c r="G55" s="34">
        <f aca="true" t="shared" si="11" ref="G55:Q55">SUM(G50:G54)</f>
        <v>0</v>
      </c>
      <c r="H55" s="34">
        <f t="shared" si="11"/>
        <v>3750</v>
      </c>
      <c r="I55" s="34">
        <f>SUM(I50:I54)</f>
        <v>0</v>
      </c>
      <c r="J55" s="34">
        <f t="shared" si="11"/>
        <v>0</v>
      </c>
      <c r="K55" s="34">
        <f t="shared" si="11"/>
        <v>35</v>
      </c>
      <c r="L55" s="34">
        <f t="shared" si="11"/>
        <v>0</v>
      </c>
      <c r="M55" s="34">
        <f t="shared" si="11"/>
        <v>0</v>
      </c>
      <c r="N55" s="34">
        <f t="shared" si="11"/>
        <v>0</v>
      </c>
      <c r="O55" s="34">
        <f t="shared" si="11"/>
        <v>0</v>
      </c>
      <c r="P55" s="34">
        <f>SUM(P50:P54)</f>
        <v>0</v>
      </c>
      <c r="Q55" s="34">
        <f t="shared" si="11"/>
        <v>0</v>
      </c>
      <c r="R55" s="34">
        <f t="shared" si="2"/>
        <v>0</v>
      </c>
      <c r="S55" s="23"/>
      <c r="T55" t="s">
        <v>16</v>
      </c>
    </row>
    <row r="56" spans="1:18" ht="12.75">
      <c r="A56" s="22" t="s">
        <v>147</v>
      </c>
      <c r="B56" s="35" t="s">
        <v>356</v>
      </c>
      <c r="C56" s="22" t="s">
        <v>16</v>
      </c>
      <c r="D56" s="22"/>
      <c r="E56" s="22" t="s">
        <v>357</v>
      </c>
      <c r="F56" s="25">
        <v>14000</v>
      </c>
      <c r="G56" s="25"/>
      <c r="H56" s="22"/>
      <c r="I56" s="22"/>
      <c r="J56" s="22"/>
      <c r="K56" s="22"/>
      <c r="L56" s="22"/>
      <c r="M56" s="22"/>
      <c r="N56" s="22"/>
      <c r="O56" s="22">
        <v>14000</v>
      </c>
      <c r="P56" s="22"/>
      <c r="Q56" s="22"/>
      <c r="R56" s="34">
        <f t="shared" si="2"/>
        <v>0</v>
      </c>
    </row>
    <row r="57" spans="1:18" ht="12.75">
      <c r="A57" s="23" t="s">
        <v>212</v>
      </c>
      <c r="B57" s="35" t="s">
        <v>19</v>
      </c>
      <c r="C57" s="22" t="s">
        <v>16</v>
      </c>
      <c r="D57" s="22"/>
      <c r="E57" s="22" t="s">
        <v>358</v>
      </c>
      <c r="F57" s="25">
        <v>4.97</v>
      </c>
      <c r="G57" s="25"/>
      <c r="H57" s="22"/>
      <c r="I57" s="22"/>
      <c r="J57" s="22">
        <v>4.97</v>
      </c>
      <c r="K57" s="22"/>
      <c r="L57" s="22"/>
      <c r="M57" s="22"/>
      <c r="N57" s="22"/>
      <c r="O57" s="22"/>
      <c r="P57" s="22"/>
      <c r="Q57" s="22"/>
      <c r="R57" s="34">
        <f t="shared" si="2"/>
        <v>0</v>
      </c>
    </row>
    <row r="58" spans="1:18" ht="12.75">
      <c r="A58" s="22"/>
      <c r="B58" s="35"/>
      <c r="C58" s="22"/>
      <c r="D58" s="22"/>
      <c r="E58" s="22"/>
      <c r="F58" s="2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34">
        <f t="shared" si="2"/>
        <v>0</v>
      </c>
    </row>
    <row r="59" spans="18:19" ht="12.75">
      <c r="R59" s="34">
        <f t="shared" si="2"/>
        <v>0</v>
      </c>
      <c r="S59" s="23"/>
    </row>
    <row r="60" spans="1:20" ht="12.75">
      <c r="A60" s="32" t="s">
        <v>35</v>
      </c>
      <c r="B60" s="33" t="s">
        <v>176</v>
      </c>
      <c r="C60" s="33"/>
      <c r="D60" s="33"/>
      <c r="E60" s="33"/>
      <c r="F60" s="34">
        <f>SUM(F56:F59)</f>
        <v>14004.97</v>
      </c>
      <c r="G60" s="34">
        <f aca="true" t="shared" si="12" ref="G60:Q60">SUM(G56:G59)</f>
        <v>0</v>
      </c>
      <c r="H60" s="34">
        <f t="shared" si="12"/>
        <v>0</v>
      </c>
      <c r="I60" s="34">
        <f t="shared" si="12"/>
        <v>0</v>
      </c>
      <c r="J60" s="34">
        <f t="shared" si="12"/>
        <v>4.97</v>
      </c>
      <c r="K60" s="34">
        <f t="shared" si="12"/>
        <v>0</v>
      </c>
      <c r="L60" s="34">
        <f t="shared" si="12"/>
        <v>0</v>
      </c>
      <c r="M60" s="34">
        <f t="shared" si="12"/>
        <v>0</v>
      </c>
      <c r="N60" s="34">
        <f t="shared" si="12"/>
        <v>0</v>
      </c>
      <c r="O60" s="34">
        <f t="shared" si="12"/>
        <v>14000</v>
      </c>
      <c r="P60" s="34">
        <f t="shared" si="12"/>
        <v>0</v>
      </c>
      <c r="Q60" s="34">
        <f t="shared" si="12"/>
        <v>0</v>
      </c>
      <c r="R60" s="34">
        <f>SUM(R56:R59)</f>
        <v>0</v>
      </c>
      <c r="S60" s="23"/>
      <c r="T60" t="s">
        <v>16</v>
      </c>
    </row>
    <row r="61" ht="12.75">
      <c r="U61" s="24"/>
    </row>
    <row r="63" spans="1:18" ht="12.75">
      <c r="A63" t="s">
        <v>455</v>
      </c>
      <c r="F63" s="24">
        <f>SUM(F3:F60)/2</f>
        <v>54874.88999999999</v>
      </c>
      <c r="G63" s="24">
        <f aca="true" t="shared" si="13" ref="G63:R63">SUM(G3:G60)/2</f>
        <v>3750</v>
      </c>
      <c r="H63" s="24">
        <f t="shared" si="13"/>
        <v>4125</v>
      </c>
      <c r="I63" s="24">
        <f t="shared" si="13"/>
        <v>3750</v>
      </c>
      <c r="J63" s="24">
        <f t="shared" si="13"/>
        <v>9.889999999999999</v>
      </c>
      <c r="K63" s="24">
        <f t="shared" si="13"/>
        <v>235</v>
      </c>
      <c r="L63" s="24">
        <f t="shared" si="13"/>
        <v>0</v>
      </c>
      <c r="M63" s="24">
        <f t="shared" si="13"/>
        <v>304.49</v>
      </c>
      <c r="N63" s="24">
        <f t="shared" si="13"/>
        <v>6653.09</v>
      </c>
      <c r="O63" s="24">
        <f t="shared" si="13"/>
        <v>34450</v>
      </c>
      <c r="P63" s="24">
        <f t="shared" si="13"/>
        <v>906.5</v>
      </c>
      <c r="Q63" s="24">
        <f t="shared" si="13"/>
        <v>690.9200000000001</v>
      </c>
      <c r="R63" s="24">
        <f t="shared" si="13"/>
        <v>0</v>
      </c>
    </row>
    <row r="65" ht="12.75">
      <c r="F65" s="24">
        <f>F63-O63-I63</f>
        <v>16674.889999999992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5.7109375" style="116" customWidth="1"/>
    <col min="3" max="3" width="20.140625" style="0" customWidth="1"/>
    <col min="4" max="4" width="28.00390625" style="117" bestFit="1" customWidth="1"/>
    <col min="5" max="5" width="23.8515625" style="118" bestFit="1" customWidth="1"/>
    <col min="6" max="6" width="10.7109375" style="119" customWidth="1"/>
    <col min="10" max="10" width="10.00390625" style="0" bestFit="1" customWidth="1"/>
  </cols>
  <sheetData>
    <row r="1" spans="1:6" ht="15.75">
      <c r="A1" s="81" t="s">
        <v>264</v>
      </c>
      <c r="B1" s="82"/>
      <c r="C1" s="83"/>
      <c r="D1" s="83"/>
      <c r="E1" s="84"/>
      <c r="F1" s="82"/>
    </row>
    <row r="2" spans="1:6" ht="15">
      <c r="A2" s="85" t="s">
        <v>265</v>
      </c>
      <c r="B2" s="3" t="s">
        <v>266</v>
      </c>
      <c r="C2" s="86" t="s">
        <v>267</v>
      </c>
      <c r="D2" s="86" t="s">
        <v>268</v>
      </c>
      <c r="E2" s="87" t="s">
        <v>269</v>
      </c>
      <c r="F2" s="88" t="s">
        <v>270</v>
      </c>
    </row>
    <row r="3" spans="1:6" ht="15">
      <c r="A3" s="85"/>
      <c r="B3" s="3"/>
      <c r="C3" s="86"/>
      <c r="D3" s="86"/>
      <c r="E3" s="87"/>
      <c r="F3" s="88"/>
    </row>
    <row r="4" spans="1:7" ht="12.75">
      <c r="A4" s="89"/>
      <c r="B4" s="90"/>
      <c r="C4" s="91"/>
      <c r="D4" s="91"/>
      <c r="E4" s="92" t="s">
        <v>271</v>
      </c>
      <c r="F4" s="93"/>
      <c r="G4" s="94"/>
    </row>
    <row r="5" spans="1:7" ht="12.75">
      <c r="A5" s="95"/>
      <c r="B5" s="90"/>
      <c r="C5" s="91"/>
      <c r="D5" s="91"/>
      <c r="E5" s="92" t="s">
        <v>272</v>
      </c>
      <c r="F5" s="96"/>
      <c r="G5" s="97"/>
    </row>
    <row r="6" spans="1:7" ht="12.75">
      <c r="A6" s="98"/>
      <c r="B6" s="90"/>
      <c r="C6" s="91"/>
      <c r="D6" s="91"/>
      <c r="E6" s="92" t="s">
        <v>272</v>
      </c>
      <c r="F6" s="93"/>
      <c r="G6" s="97"/>
    </row>
    <row r="7" spans="1:7" ht="12.75">
      <c r="A7" s="95"/>
      <c r="B7" s="90"/>
      <c r="C7" s="91"/>
      <c r="D7" s="99"/>
      <c r="E7" s="92" t="s">
        <v>272</v>
      </c>
      <c r="F7" s="100"/>
      <c r="G7" s="97"/>
    </row>
    <row r="8" spans="1:7" ht="12.75">
      <c r="A8" s="95"/>
      <c r="B8" s="90"/>
      <c r="C8" s="91"/>
      <c r="D8" s="91"/>
      <c r="E8" s="92" t="s">
        <v>272</v>
      </c>
      <c r="F8" s="96"/>
      <c r="G8" s="97"/>
    </row>
    <row r="9" spans="1:7" ht="12.75">
      <c r="A9" s="95"/>
      <c r="B9" s="90"/>
      <c r="C9" s="101"/>
      <c r="D9" s="101"/>
      <c r="E9" s="92" t="s">
        <v>272</v>
      </c>
      <c r="F9" s="31"/>
      <c r="G9" s="97"/>
    </row>
    <row r="10" spans="1:7" ht="12.75">
      <c r="A10" s="95" t="s">
        <v>276</v>
      </c>
      <c r="B10" s="90"/>
      <c r="C10" s="101" t="s">
        <v>65</v>
      </c>
      <c r="D10" s="101" t="s">
        <v>261</v>
      </c>
      <c r="E10" s="92" t="s">
        <v>272</v>
      </c>
      <c r="F10" s="31">
        <f>'2017-2018 PAYMENTS'!K6</f>
        <v>1.8</v>
      </c>
      <c r="G10" s="97"/>
    </row>
    <row r="11" spans="1:7" ht="12.75">
      <c r="A11" s="89" t="s">
        <v>280</v>
      </c>
      <c r="B11" s="90"/>
      <c r="C11" s="91" t="s">
        <v>257</v>
      </c>
      <c r="D11" s="91" t="s">
        <v>277</v>
      </c>
      <c r="E11" s="92" t="s">
        <v>272</v>
      </c>
      <c r="F11" s="102">
        <f>'2017-2018 PAYMENTS'!K22</f>
        <v>1290</v>
      </c>
      <c r="G11" s="97"/>
    </row>
    <row r="12" spans="1:7" ht="12.75">
      <c r="A12" s="95" t="s">
        <v>280</v>
      </c>
      <c r="B12" s="103"/>
      <c r="C12" s="101" t="s">
        <v>278</v>
      </c>
      <c r="D12" s="101" t="s">
        <v>279</v>
      </c>
      <c r="E12" s="92" t="s">
        <v>272</v>
      </c>
      <c r="F12" s="31">
        <f>'2017-2018 PAYMENTS'!K25</f>
        <v>10.99</v>
      </c>
      <c r="G12" s="97"/>
    </row>
    <row r="13" spans="1:7" ht="12.75">
      <c r="A13" s="95"/>
      <c r="B13" s="90"/>
      <c r="C13" s="91"/>
      <c r="D13" s="99"/>
      <c r="E13" s="92" t="s">
        <v>272</v>
      </c>
      <c r="F13" s="31"/>
      <c r="G13" s="97"/>
    </row>
    <row r="14" spans="1:7" ht="12.75">
      <c r="A14" s="89"/>
      <c r="B14" s="90"/>
      <c r="C14" s="91"/>
      <c r="D14" s="91"/>
      <c r="E14" s="92" t="s">
        <v>272</v>
      </c>
      <c r="F14" s="93"/>
      <c r="G14" s="97"/>
    </row>
    <row r="15" spans="1:7" ht="12.75">
      <c r="A15" s="95"/>
      <c r="B15" s="90"/>
      <c r="C15" s="91"/>
      <c r="D15" s="91"/>
      <c r="E15" s="92" t="s">
        <v>272</v>
      </c>
      <c r="F15" s="31"/>
      <c r="G15" s="104"/>
    </row>
    <row r="16" spans="1:7" ht="12.75">
      <c r="A16" s="95"/>
      <c r="B16" s="90"/>
      <c r="C16" s="105"/>
      <c r="D16" s="91"/>
      <c r="E16" s="92" t="s">
        <v>272</v>
      </c>
      <c r="F16" s="31"/>
      <c r="G16" s="104"/>
    </row>
    <row r="17" spans="1:7" ht="12.75">
      <c r="A17" s="95"/>
      <c r="B17" s="90"/>
      <c r="C17" s="91"/>
      <c r="D17" s="91"/>
      <c r="E17" s="92" t="s">
        <v>272</v>
      </c>
      <c r="F17" s="31"/>
      <c r="G17" s="106"/>
    </row>
    <row r="18" spans="1:7" ht="12.75">
      <c r="A18" s="89"/>
      <c r="B18" s="90"/>
      <c r="C18" s="91"/>
      <c r="D18" s="91"/>
      <c r="E18" s="92" t="s">
        <v>272</v>
      </c>
      <c r="F18" s="93"/>
      <c r="G18" s="106"/>
    </row>
    <row r="19" spans="1:7" ht="12.75">
      <c r="A19" s="98"/>
      <c r="B19" s="90"/>
      <c r="C19" s="91"/>
      <c r="D19" s="91"/>
      <c r="E19" s="92" t="s">
        <v>272</v>
      </c>
      <c r="F19" s="107"/>
      <c r="G19" s="106"/>
    </row>
    <row r="20" spans="1:7" ht="12.75">
      <c r="A20" s="98"/>
      <c r="B20" s="90"/>
      <c r="C20" s="91"/>
      <c r="D20" s="91"/>
      <c r="E20" s="92" t="s">
        <v>272</v>
      </c>
      <c r="F20" s="93"/>
      <c r="G20" s="106"/>
    </row>
    <row r="21" spans="1:7" ht="12.75">
      <c r="A21" s="89"/>
      <c r="B21" s="90"/>
      <c r="C21" s="91"/>
      <c r="D21" s="91"/>
      <c r="E21" s="92" t="s">
        <v>272</v>
      </c>
      <c r="F21" s="93"/>
      <c r="G21" s="106"/>
    </row>
    <row r="22" spans="1:7" ht="12.75">
      <c r="A22" s="108"/>
      <c r="B22" s="90"/>
      <c r="C22" s="15"/>
      <c r="D22" s="17"/>
      <c r="E22" s="92" t="s">
        <v>272</v>
      </c>
      <c r="F22" s="107"/>
      <c r="G22" s="106"/>
    </row>
    <row r="23" spans="1:7" ht="12.75">
      <c r="A23" s="89"/>
      <c r="B23" s="103"/>
      <c r="C23" s="101"/>
      <c r="D23" s="101"/>
      <c r="E23" s="92" t="s">
        <v>272</v>
      </c>
      <c r="F23" s="93"/>
      <c r="G23" s="106"/>
    </row>
    <row r="24" spans="1:6" ht="12.75">
      <c r="A24" s="89"/>
      <c r="B24" s="103"/>
      <c r="C24" s="101"/>
      <c r="D24" s="101"/>
      <c r="E24" s="92" t="s">
        <v>272</v>
      </c>
      <c r="F24" s="31"/>
    </row>
    <row r="25" spans="1:6" ht="12.75">
      <c r="A25" s="95"/>
      <c r="B25" s="103"/>
      <c r="C25" s="15"/>
      <c r="D25" s="17"/>
      <c r="E25" s="92" t="s">
        <v>272</v>
      </c>
      <c r="F25" s="107"/>
    </row>
    <row r="26" spans="1:6" ht="12.75">
      <c r="A26" s="95"/>
      <c r="B26" s="103"/>
      <c r="C26" s="101"/>
      <c r="D26" s="101"/>
      <c r="E26" s="92" t="s">
        <v>272</v>
      </c>
      <c r="F26" s="31"/>
    </row>
    <row r="27" spans="1:6" ht="12.75">
      <c r="A27" s="89"/>
      <c r="B27" s="90"/>
      <c r="C27" s="101"/>
      <c r="D27" s="101"/>
      <c r="E27" s="92" t="s">
        <v>272</v>
      </c>
      <c r="F27" s="31"/>
    </row>
    <row r="28" spans="1:7" ht="12.75">
      <c r="A28" s="95"/>
      <c r="B28" s="90"/>
      <c r="C28" s="15"/>
      <c r="D28" s="17"/>
      <c r="E28" s="92" t="s">
        <v>272</v>
      </c>
      <c r="F28" s="107"/>
      <c r="G28" s="1"/>
    </row>
    <row r="29" spans="1:6" ht="12.75">
      <c r="A29" s="89"/>
      <c r="B29" s="90"/>
      <c r="C29" s="101"/>
      <c r="D29" s="101"/>
      <c r="E29" s="92" t="s">
        <v>272</v>
      </c>
      <c r="F29" s="31"/>
    </row>
    <row r="30" spans="1:6" ht="12.75">
      <c r="A30" s="95"/>
      <c r="B30" s="103"/>
      <c r="C30" s="15"/>
      <c r="D30" s="17"/>
      <c r="E30" s="92" t="s">
        <v>272</v>
      </c>
      <c r="F30" s="107"/>
    </row>
    <row r="31" spans="1:7" ht="12.75">
      <c r="A31" s="95"/>
      <c r="B31" s="66"/>
      <c r="C31" s="101"/>
      <c r="D31" s="101"/>
      <c r="E31" s="92" t="s">
        <v>272</v>
      </c>
      <c r="F31" s="31"/>
      <c r="G31" s="109"/>
    </row>
    <row r="32" spans="1:7" ht="12.75">
      <c r="A32" s="95"/>
      <c r="B32" s="90"/>
      <c r="C32" s="101"/>
      <c r="D32" s="101"/>
      <c r="E32" s="92" t="s">
        <v>272</v>
      </c>
      <c r="F32" s="31"/>
      <c r="G32" s="109"/>
    </row>
    <row r="33" spans="1:7" ht="12.75">
      <c r="A33" s="95"/>
      <c r="B33" s="103"/>
      <c r="C33" s="15"/>
      <c r="D33" s="17"/>
      <c r="E33" s="92" t="s">
        <v>272</v>
      </c>
      <c r="F33" s="16"/>
      <c r="G33" s="109"/>
    </row>
    <row r="34" spans="1:7" ht="12.75">
      <c r="A34" s="66"/>
      <c r="B34" s="110"/>
      <c r="C34" s="15"/>
      <c r="D34" s="17"/>
      <c r="E34" s="92" t="s">
        <v>272</v>
      </c>
      <c r="F34" s="16"/>
      <c r="G34" s="109"/>
    </row>
    <row r="35" spans="1:7" ht="12.75">
      <c r="A35" s="66"/>
      <c r="B35" s="90"/>
      <c r="C35" s="15"/>
      <c r="D35" s="17"/>
      <c r="E35" s="92" t="s">
        <v>272</v>
      </c>
      <c r="F35" s="16"/>
      <c r="G35" s="109"/>
    </row>
    <row r="36" spans="1:7" ht="12.75">
      <c r="A36" s="66"/>
      <c r="B36" s="90"/>
      <c r="C36" s="15"/>
      <c r="D36" s="17"/>
      <c r="E36" s="92" t="s">
        <v>272</v>
      </c>
      <c r="F36" s="16"/>
      <c r="G36" s="109"/>
    </row>
    <row r="37" spans="1:7" ht="12.75">
      <c r="A37" s="66"/>
      <c r="B37" s="110"/>
      <c r="C37" s="14"/>
      <c r="D37" s="111"/>
      <c r="E37" s="92" t="s">
        <v>272</v>
      </c>
      <c r="F37" s="31"/>
      <c r="G37" s="109"/>
    </row>
    <row r="38" spans="1:7" ht="12.75">
      <c r="A38" s="66"/>
      <c r="B38" s="110"/>
      <c r="C38" s="14"/>
      <c r="D38" s="101"/>
      <c r="E38" s="92" t="s">
        <v>272</v>
      </c>
      <c r="F38" s="16"/>
      <c r="G38" s="109"/>
    </row>
    <row r="39" spans="1:7" ht="12.75" customHeight="1">
      <c r="A39" s="66"/>
      <c r="B39" s="90"/>
      <c r="C39" s="101"/>
      <c r="D39" s="101"/>
      <c r="E39" s="92" t="s">
        <v>272</v>
      </c>
      <c r="F39" s="16"/>
      <c r="G39" s="109"/>
    </row>
    <row r="40" spans="1:7" ht="12.75" customHeight="1">
      <c r="A40" s="66"/>
      <c r="B40" s="90"/>
      <c r="C40" s="101"/>
      <c r="D40" s="101"/>
      <c r="E40" s="92" t="s">
        <v>272</v>
      </c>
      <c r="F40" s="16"/>
      <c r="G40" s="109"/>
    </row>
    <row r="41" spans="1:7" ht="12.75" customHeight="1">
      <c r="A41" s="66"/>
      <c r="B41" s="112"/>
      <c r="C41" s="101"/>
      <c r="D41" s="101"/>
      <c r="E41" s="92" t="s">
        <v>272</v>
      </c>
      <c r="F41" s="31"/>
      <c r="G41" s="109"/>
    </row>
    <row r="42" spans="1:7" ht="12.75" customHeight="1">
      <c r="A42" s="66"/>
      <c r="B42" s="112"/>
      <c r="C42" s="101"/>
      <c r="D42" s="101"/>
      <c r="E42" s="92" t="s">
        <v>272</v>
      </c>
      <c r="F42" s="113"/>
      <c r="G42" s="109"/>
    </row>
    <row r="43" spans="1:7" ht="12.75" customHeight="1">
      <c r="A43" s="66"/>
      <c r="B43" s="90"/>
      <c r="C43" s="101"/>
      <c r="D43" s="101"/>
      <c r="E43" s="92" t="s">
        <v>272</v>
      </c>
      <c r="F43" s="16"/>
      <c r="G43" s="109"/>
    </row>
    <row r="44" spans="1:7" ht="12.75" customHeight="1">
      <c r="A44" s="66"/>
      <c r="B44" s="90"/>
      <c r="C44" s="101"/>
      <c r="D44" s="101"/>
      <c r="E44" s="92" t="s">
        <v>272</v>
      </c>
      <c r="F44" s="16"/>
      <c r="G44" s="109"/>
    </row>
    <row r="45" spans="1:7" ht="12.75" customHeight="1">
      <c r="A45" s="66"/>
      <c r="B45" s="90"/>
      <c r="C45" s="101"/>
      <c r="D45" s="101"/>
      <c r="E45" s="92" t="s">
        <v>272</v>
      </c>
      <c r="F45" s="16"/>
      <c r="G45" s="109"/>
    </row>
    <row r="46" spans="1:7" ht="12.75" customHeight="1">
      <c r="A46" s="66"/>
      <c r="B46" s="112"/>
      <c r="C46" s="101"/>
      <c r="D46" s="101"/>
      <c r="E46" s="92" t="s">
        <v>272</v>
      </c>
      <c r="F46" s="16"/>
      <c r="G46" s="109"/>
    </row>
    <row r="47" spans="1:7" ht="12.75" customHeight="1">
      <c r="A47" s="66"/>
      <c r="B47" s="90"/>
      <c r="C47" s="101"/>
      <c r="D47" s="101"/>
      <c r="E47" s="92" t="s">
        <v>272</v>
      </c>
      <c r="F47" s="16"/>
      <c r="G47" s="109"/>
    </row>
    <row r="48" spans="1:7" ht="12.75" customHeight="1">
      <c r="A48" s="66"/>
      <c r="B48" s="90"/>
      <c r="C48" s="101"/>
      <c r="D48" s="101"/>
      <c r="E48" s="92" t="s">
        <v>272</v>
      </c>
      <c r="F48" s="16"/>
      <c r="G48" s="109"/>
    </row>
    <row r="49" spans="1:7" ht="12.75" customHeight="1">
      <c r="A49" s="66"/>
      <c r="B49" s="90"/>
      <c r="C49" s="101"/>
      <c r="D49" s="101"/>
      <c r="E49" s="92" t="s">
        <v>272</v>
      </c>
      <c r="F49" s="16"/>
      <c r="G49" s="109"/>
    </row>
    <row r="50" spans="1:7" ht="12.75" customHeight="1">
      <c r="A50" s="66"/>
      <c r="B50" s="112"/>
      <c r="C50" s="101"/>
      <c r="D50" s="101"/>
      <c r="E50" s="92" t="s">
        <v>272</v>
      </c>
      <c r="F50" s="16"/>
      <c r="G50" s="109"/>
    </row>
    <row r="51" spans="1:7" ht="12.75" customHeight="1">
      <c r="A51" s="66"/>
      <c r="B51" s="103"/>
      <c r="C51" s="101"/>
      <c r="D51" s="101"/>
      <c r="E51" s="92" t="s">
        <v>272</v>
      </c>
      <c r="F51" s="16"/>
      <c r="G51" s="109"/>
    </row>
    <row r="52" spans="1:7" ht="12.75" customHeight="1">
      <c r="A52" s="66"/>
      <c r="B52" s="112"/>
      <c r="C52" s="101"/>
      <c r="D52" s="101"/>
      <c r="E52" s="92" t="s">
        <v>272</v>
      </c>
      <c r="F52" s="16"/>
      <c r="G52" s="114"/>
    </row>
    <row r="53" spans="1:7" ht="12.75">
      <c r="A53" s="66"/>
      <c r="B53" s="90"/>
      <c r="C53" s="66"/>
      <c r="D53" s="115"/>
      <c r="E53" s="92" t="s">
        <v>272</v>
      </c>
      <c r="F53" s="31"/>
      <c r="G53" s="109"/>
    </row>
    <row r="54" spans="1:7" ht="12.75">
      <c r="A54" s="66"/>
      <c r="B54" s="112"/>
      <c r="C54" s="66"/>
      <c r="D54" s="15"/>
      <c r="E54" s="92" t="s">
        <v>272</v>
      </c>
      <c r="F54" s="16"/>
      <c r="G54" s="109"/>
    </row>
    <row r="55" spans="1:7" ht="12.75">
      <c r="A55" s="66"/>
      <c r="B55" s="112"/>
      <c r="C55" s="66"/>
      <c r="D55" s="15"/>
      <c r="E55" s="92" t="s">
        <v>272</v>
      </c>
      <c r="F55" s="107"/>
      <c r="G55" s="109"/>
    </row>
    <row r="56" spans="1:6" ht="12.75">
      <c r="A56" s="66"/>
      <c r="B56" s="112"/>
      <c r="C56" s="66"/>
      <c r="D56" s="101"/>
      <c r="E56" s="92" t="s">
        <v>272</v>
      </c>
      <c r="F56" s="107"/>
    </row>
    <row r="57" spans="1:6" ht="12.75">
      <c r="A57" s="66"/>
      <c r="B57" s="112"/>
      <c r="C57" s="66"/>
      <c r="D57" s="101"/>
      <c r="E57" s="92" t="s">
        <v>272</v>
      </c>
      <c r="F57" s="107"/>
    </row>
    <row r="58" spans="1:6" ht="12.75">
      <c r="A58" s="66"/>
      <c r="B58" s="103"/>
      <c r="C58" s="66"/>
      <c r="D58" s="101"/>
      <c r="E58" s="92" t="s">
        <v>272</v>
      </c>
      <c r="F58" s="107"/>
    </row>
    <row r="59" spans="1:6" ht="12.75">
      <c r="A59" s="66"/>
      <c r="B59" s="112"/>
      <c r="C59" s="66"/>
      <c r="D59" s="101"/>
      <c r="E59" s="92" t="s">
        <v>272</v>
      </c>
      <c r="F59" s="107"/>
    </row>
    <row r="60" spans="1:6" ht="12.75">
      <c r="A60" s="66"/>
      <c r="B60" s="112"/>
      <c r="C60" s="66"/>
      <c r="D60" s="101"/>
      <c r="E60" s="92" t="s">
        <v>272</v>
      </c>
      <c r="F60" s="107"/>
    </row>
    <row r="61" spans="1:6" ht="12.75">
      <c r="A61" s="66"/>
      <c r="B61" s="90"/>
      <c r="C61" s="66"/>
      <c r="D61" s="101"/>
      <c r="E61" s="92" t="s">
        <v>272</v>
      </c>
      <c r="F61" s="107"/>
    </row>
    <row r="62" spans="1:6" ht="12.75">
      <c r="A62" s="66"/>
      <c r="B62" s="112"/>
      <c r="C62" s="66"/>
      <c r="D62" s="101"/>
      <c r="E62" s="92" t="s">
        <v>272</v>
      </c>
      <c r="F62" s="107"/>
    </row>
    <row r="63" spans="1:6" ht="12.75">
      <c r="A63" s="66"/>
      <c r="B63" s="90"/>
      <c r="C63" s="66"/>
      <c r="D63" s="101"/>
      <c r="E63" s="92" t="s">
        <v>272</v>
      </c>
      <c r="F63" s="107"/>
    </row>
    <row r="64" spans="1:6" ht="12.75">
      <c r="A64" s="66"/>
      <c r="B64" s="112"/>
      <c r="C64" s="66"/>
      <c r="D64" s="101"/>
      <c r="E64" s="92" t="s">
        <v>272</v>
      </c>
      <c r="F64" s="107"/>
    </row>
    <row r="65" spans="1:6" ht="12.75">
      <c r="A65" s="66"/>
      <c r="B65" s="103"/>
      <c r="C65" s="66"/>
      <c r="D65" s="101"/>
      <c r="E65" s="92" t="s">
        <v>272</v>
      </c>
      <c r="F65" s="107"/>
    </row>
    <row r="66" spans="1:6" ht="12.75">
      <c r="A66" s="66"/>
      <c r="B66" s="112"/>
      <c r="C66" s="66"/>
      <c r="D66" s="101"/>
      <c r="E66" s="92" t="s">
        <v>272</v>
      </c>
      <c r="F66" s="107"/>
    </row>
    <row r="67" spans="1:6" ht="12.75">
      <c r="A67" s="66"/>
      <c r="B67" s="112"/>
      <c r="C67" s="66"/>
      <c r="D67" s="101"/>
      <c r="E67" s="92" t="s">
        <v>272</v>
      </c>
      <c r="F67" s="107"/>
    </row>
    <row r="68" spans="1:6" ht="12.75">
      <c r="A68" s="66"/>
      <c r="B68" s="103"/>
      <c r="C68" s="66"/>
      <c r="D68" s="101"/>
      <c r="E68" s="92" t="s">
        <v>272</v>
      </c>
      <c r="F68" s="107"/>
    </row>
    <row r="69" spans="1:6" ht="12.75">
      <c r="A69" s="66"/>
      <c r="B69" s="112"/>
      <c r="C69" s="66"/>
      <c r="D69" s="101"/>
      <c r="E69" s="92" t="s">
        <v>272</v>
      </c>
      <c r="F69" s="107"/>
    </row>
    <row r="70" spans="1:6" ht="12.75">
      <c r="A70" s="66"/>
      <c r="B70" s="112"/>
      <c r="C70" s="66"/>
      <c r="D70" s="101"/>
      <c r="E70" s="92" t="s">
        <v>272</v>
      </c>
      <c r="F70" s="107"/>
    </row>
    <row r="71" spans="1:6" ht="12.75">
      <c r="A71" s="66"/>
      <c r="B71" s="112"/>
      <c r="C71" s="66"/>
      <c r="D71" s="101"/>
      <c r="E71" s="92" t="s">
        <v>272</v>
      </c>
      <c r="F71" s="107"/>
    </row>
    <row r="72" spans="9:10" ht="12.75">
      <c r="I72" s="120" t="s">
        <v>273</v>
      </c>
      <c r="J72" s="121">
        <f>SUM(F40:F71)</f>
        <v>0</v>
      </c>
    </row>
    <row r="73" spans="5:10" ht="12.75">
      <c r="E73" s="118" t="s">
        <v>274</v>
      </c>
      <c r="F73" s="119">
        <v>6653.09</v>
      </c>
      <c r="I73" s="120" t="s">
        <v>275</v>
      </c>
      <c r="J73" s="121">
        <f>SUM(F4:F39)</f>
        <v>1302.79</v>
      </c>
    </row>
    <row r="74" ht="12.75">
      <c r="I74" s="119"/>
    </row>
    <row r="75" spans="9:10" ht="12.75">
      <c r="I75" s="120" t="s">
        <v>32</v>
      </c>
      <c r="J75" s="121">
        <f>SUM(F4:F71)</f>
        <v>1302.79</v>
      </c>
    </row>
    <row r="76" ht="12.75">
      <c r="G76" s="1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D4">
      <selection activeCell="K27" sqref="K27"/>
    </sheetView>
  </sheetViews>
  <sheetFormatPr defaultColWidth="16.00390625" defaultRowHeight="12.75"/>
  <cols>
    <col min="1" max="1" width="12.00390625" style="0" hidden="1" customWidth="1"/>
    <col min="2" max="2" width="12.28125" style="0" hidden="1" customWidth="1"/>
    <col min="3" max="3" width="13.8515625" style="50" hidden="1" customWidth="1"/>
    <col min="4" max="4" width="53.140625" style="0" customWidth="1"/>
    <col min="5" max="5" width="20.421875" style="0" customWidth="1"/>
    <col min="6" max="6" width="14.8515625" style="0" customWidth="1"/>
    <col min="7" max="7" width="32.57421875" style="0" bestFit="1" customWidth="1"/>
    <col min="8" max="243" width="9.140625" style="0" customWidth="1"/>
    <col min="244" max="244" width="9.00390625" style="0" customWidth="1"/>
    <col min="245" max="245" width="37.28125" style="0" customWidth="1"/>
    <col min="246" max="246" width="3.7109375" style="0" customWidth="1"/>
    <col min="247" max="249" width="0" style="0" hidden="1" customWidth="1"/>
    <col min="250" max="250" width="3.8515625" style="0" customWidth="1"/>
    <col min="251" max="251" width="9.140625" style="0" customWidth="1"/>
    <col min="252" max="252" width="11.421875" style="0" customWidth="1"/>
    <col min="253" max="253" width="0" style="0" hidden="1" customWidth="1"/>
    <col min="254" max="254" width="11.00390625" style="0" customWidth="1"/>
    <col min="255" max="255" width="0" style="0" hidden="1" customWidth="1"/>
  </cols>
  <sheetData>
    <row r="1" spans="1:5" ht="15">
      <c r="A1" s="49" t="s">
        <v>222</v>
      </c>
      <c r="B1" s="49"/>
      <c r="D1" s="49" t="s">
        <v>237</v>
      </c>
      <c r="E1" s="49"/>
    </row>
    <row r="2" spans="1:5" ht="15">
      <c r="A2" s="51"/>
      <c r="B2" s="51"/>
      <c r="D2" s="51"/>
      <c r="E2" s="51"/>
    </row>
    <row r="3" spans="1:5" ht="15">
      <c r="A3" s="51"/>
      <c r="B3" s="51"/>
      <c r="D3" s="51"/>
      <c r="E3" s="51"/>
    </row>
    <row r="4" spans="1:5" ht="12.75">
      <c r="A4" s="52"/>
      <c r="B4" s="52"/>
      <c r="C4" s="53"/>
      <c r="D4" s="51"/>
      <c r="E4" s="51"/>
    </row>
    <row r="5" spans="1:7" ht="15">
      <c r="A5" s="54" t="s">
        <v>223</v>
      </c>
      <c r="B5" s="54" t="s">
        <v>223</v>
      </c>
      <c r="C5" s="55" t="s">
        <v>224</v>
      </c>
      <c r="D5" s="56"/>
      <c r="E5" s="57" t="s">
        <v>224</v>
      </c>
      <c r="F5" s="58" t="s">
        <v>225</v>
      </c>
      <c r="G5" s="58" t="s">
        <v>327</v>
      </c>
    </row>
    <row r="6" spans="1:7" ht="12.75">
      <c r="A6" s="54" t="s">
        <v>226</v>
      </c>
      <c r="B6" s="54" t="s">
        <v>227</v>
      </c>
      <c r="C6" s="59" t="s">
        <v>228</v>
      </c>
      <c r="D6" s="60" t="s">
        <v>229</v>
      </c>
      <c r="E6" s="60"/>
      <c r="F6" s="58">
        <v>2017.18</v>
      </c>
      <c r="G6" s="58"/>
    </row>
    <row r="7" spans="1:7" ht="15">
      <c r="A7" s="61">
        <v>388</v>
      </c>
      <c r="B7" s="61">
        <v>582</v>
      </c>
      <c r="C7" s="62">
        <v>234</v>
      </c>
      <c r="D7" s="63" t="s">
        <v>244</v>
      </c>
      <c r="E7" s="64">
        <f>'2017-2018 PAYMENTS'!G130</f>
        <v>5280.124999999999</v>
      </c>
      <c r="F7" s="64">
        <v>6200</v>
      </c>
      <c r="G7" s="65">
        <v>6200</v>
      </c>
    </row>
    <row r="8" spans="1:7" ht="15">
      <c r="A8" s="61"/>
      <c r="B8" s="61"/>
      <c r="C8" s="62"/>
      <c r="D8" s="63" t="s">
        <v>230</v>
      </c>
      <c r="E8" s="64">
        <f>'2017-2018 PAYMENTS'!H130</f>
        <v>434.34000000000003</v>
      </c>
      <c r="F8" s="64">
        <v>800</v>
      </c>
      <c r="G8" s="65">
        <v>800</v>
      </c>
    </row>
    <row r="9" spans="1:7" ht="15">
      <c r="A9" s="61">
        <v>1560</v>
      </c>
      <c r="B9" s="61">
        <v>1569</v>
      </c>
      <c r="C9" s="62">
        <v>1608.36</v>
      </c>
      <c r="D9" s="63" t="s">
        <v>21</v>
      </c>
      <c r="E9" s="64">
        <f>'2017-2018 PAYMENTS'!I130</f>
        <v>268.55</v>
      </c>
      <c r="F9" s="64">
        <v>250</v>
      </c>
      <c r="G9" s="65">
        <v>250</v>
      </c>
    </row>
    <row r="10" spans="1:7" ht="15">
      <c r="A10" s="61">
        <v>1500</v>
      </c>
      <c r="B10" s="61">
        <v>1956</v>
      </c>
      <c r="C10" s="62">
        <v>1485</v>
      </c>
      <c r="D10" s="63" t="s">
        <v>235</v>
      </c>
      <c r="E10" s="64">
        <f>'2017-2018 PAYMENTS'!J130</f>
        <v>1545</v>
      </c>
      <c r="F10" s="64">
        <v>2000</v>
      </c>
      <c r="G10" s="65">
        <v>0</v>
      </c>
    </row>
    <row r="11" spans="1:7" ht="15">
      <c r="A11" s="61">
        <v>3700</v>
      </c>
      <c r="B11" s="61">
        <v>2959</v>
      </c>
      <c r="C11" s="62">
        <v>2741.7200000000003</v>
      </c>
      <c r="D11" s="63" t="s">
        <v>11</v>
      </c>
      <c r="E11" s="64">
        <f>'2017-2018 PAYMENTS'!K130</f>
        <v>1512.1800000000003</v>
      </c>
      <c r="F11" s="64">
        <v>500</v>
      </c>
      <c r="G11" s="65">
        <v>0</v>
      </c>
    </row>
    <row r="12" spans="1:7" ht="15">
      <c r="A12" s="61"/>
      <c r="B12" s="61">
        <v>250</v>
      </c>
      <c r="C12" s="62">
        <v>282.79999999999995</v>
      </c>
      <c r="D12" s="66" t="s">
        <v>29</v>
      </c>
      <c r="E12" s="64">
        <f>'2017-2018 PAYMENTS'!L130</f>
        <v>191</v>
      </c>
      <c r="F12" s="64">
        <v>600</v>
      </c>
      <c r="G12" s="65">
        <v>0</v>
      </c>
    </row>
    <row r="13" spans="1:7" ht="15">
      <c r="A13" s="61">
        <v>100</v>
      </c>
      <c r="B13" s="61">
        <v>105</v>
      </c>
      <c r="C13" s="62">
        <v>50</v>
      </c>
      <c r="D13" s="63" t="s">
        <v>37</v>
      </c>
      <c r="E13" s="64">
        <f>'2017-2018 PAYMENTS'!M130</f>
        <v>424.95</v>
      </c>
      <c r="F13" s="64">
        <v>2000</v>
      </c>
      <c r="G13" s="65">
        <v>0</v>
      </c>
    </row>
    <row r="14" spans="1:7" ht="15">
      <c r="A14" s="61">
        <v>951</v>
      </c>
      <c r="B14" s="61">
        <v>730</v>
      </c>
      <c r="C14" s="62">
        <v>724.62</v>
      </c>
      <c r="D14" s="63" t="s">
        <v>236</v>
      </c>
      <c r="E14" s="64">
        <f>'2017-2018 PAYMENTS'!O130</f>
        <v>90.15</v>
      </c>
      <c r="F14" s="64">
        <v>100</v>
      </c>
      <c r="G14" s="65">
        <v>100</v>
      </c>
    </row>
    <row r="15" spans="1:7" ht="15">
      <c r="A15" s="61">
        <v>1456</v>
      </c>
      <c r="B15" s="61">
        <v>1437</v>
      </c>
      <c r="C15" s="62">
        <v>1560</v>
      </c>
      <c r="D15" s="63" t="s">
        <v>4</v>
      </c>
      <c r="E15" s="64">
        <f>'2017-2018 PAYMENTS'!N130</f>
        <v>0</v>
      </c>
      <c r="F15" s="64">
        <v>1800</v>
      </c>
      <c r="G15" s="65">
        <v>1800</v>
      </c>
    </row>
    <row r="16" spans="1:8" ht="15">
      <c r="A16" s="61">
        <v>150</v>
      </c>
      <c r="B16" s="61">
        <v>52</v>
      </c>
      <c r="C16" s="62">
        <v>85</v>
      </c>
      <c r="D16" s="63" t="s">
        <v>315</v>
      </c>
      <c r="E16" s="64">
        <f>'2017-2018 PAYMENTS'!P130</f>
        <v>6940</v>
      </c>
      <c r="F16" s="64">
        <v>1000</v>
      </c>
      <c r="G16" s="65">
        <v>1000</v>
      </c>
      <c r="H16" t="s">
        <v>330</v>
      </c>
    </row>
    <row r="17" spans="1:7" ht="15">
      <c r="A17" s="61">
        <v>800</v>
      </c>
      <c r="B17" s="61">
        <v>7900</v>
      </c>
      <c r="C17" s="62">
        <v>703</v>
      </c>
      <c r="D17" s="63"/>
      <c r="E17" s="64"/>
      <c r="F17" s="64"/>
      <c r="G17" s="65"/>
    </row>
    <row r="18" spans="1:7" ht="15">
      <c r="A18" s="61">
        <v>350</v>
      </c>
      <c r="B18" s="61">
        <v>415</v>
      </c>
      <c r="C18" s="62">
        <v>265.91999999999996</v>
      </c>
      <c r="D18" s="63"/>
      <c r="E18" s="64"/>
      <c r="F18" s="64"/>
      <c r="G18" s="65"/>
    </row>
    <row r="19" spans="1:7" ht="15">
      <c r="A19" s="61"/>
      <c r="B19" s="61"/>
      <c r="C19" s="62"/>
      <c r="D19" s="63"/>
      <c r="E19" s="64"/>
      <c r="F19" s="64"/>
      <c r="G19" s="150">
        <f>SUM(G7:G18)</f>
        <v>10150</v>
      </c>
    </row>
    <row r="20" spans="1:7" ht="15">
      <c r="A20" s="61">
        <v>0</v>
      </c>
      <c r="B20" s="61">
        <v>0</v>
      </c>
      <c r="C20" s="62">
        <v>2000</v>
      </c>
      <c r="D20" s="67" t="s">
        <v>231</v>
      </c>
      <c r="E20" s="68"/>
      <c r="F20" s="68"/>
      <c r="G20" s="63"/>
    </row>
    <row r="21" spans="1:7" ht="15">
      <c r="A21" s="61"/>
      <c r="B21" s="61"/>
      <c r="C21" s="62"/>
      <c r="D21" s="67" t="s">
        <v>232</v>
      </c>
      <c r="E21" s="68"/>
      <c r="F21" s="68"/>
      <c r="G21" s="69"/>
    </row>
    <row r="22" spans="1:7" ht="12.75">
      <c r="A22" s="70">
        <f>SUM(A7:A18)</f>
        <v>10955</v>
      </c>
      <c r="B22" s="70">
        <v>20878</v>
      </c>
      <c r="C22" s="71">
        <v>13426.410000000002</v>
      </c>
      <c r="D22" s="60" t="s">
        <v>233</v>
      </c>
      <c r="E22" s="72">
        <f>SUM(E7:E21)</f>
        <v>16686.295</v>
      </c>
      <c r="F22" s="72">
        <f>SUM(F7:F21)</f>
        <v>15250</v>
      </c>
      <c r="G22" s="73"/>
    </row>
    <row r="23" spans="1:7" ht="12.75">
      <c r="A23" s="70"/>
      <c r="B23" s="70"/>
      <c r="C23" s="71"/>
      <c r="D23" s="74"/>
      <c r="E23" s="75"/>
      <c r="F23" s="76"/>
      <c r="G23" s="73"/>
    </row>
    <row r="24" spans="1:7" ht="15">
      <c r="A24" s="61"/>
      <c r="B24" s="61"/>
      <c r="C24" s="62"/>
      <c r="D24" s="60" t="s">
        <v>234</v>
      </c>
      <c r="E24" s="64"/>
      <c r="F24" s="76"/>
      <c r="G24" s="77"/>
    </row>
    <row r="25" spans="1:8" ht="15">
      <c r="A25" s="61">
        <v>450</v>
      </c>
      <c r="B25" s="61">
        <v>517</v>
      </c>
      <c r="C25" s="62">
        <v>75</v>
      </c>
      <c r="D25" s="63" t="s">
        <v>3</v>
      </c>
      <c r="E25" s="64">
        <f>'2017-2018 RECEIPTS'!G58</f>
        <v>0</v>
      </c>
      <c r="F25" s="64">
        <v>3750</v>
      </c>
      <c r="G25" s="65">
        <v>3750</v>
      </c>
      <c r="H25" s="151"/>
    </row>
    <row r="26" spans="1:7" ht="15">
      <c r="A26" s="61">
        <v>1300</v>
      </c>
      <c r="B26" s="61">
        <v>1863</v>
      </c>
      <c r="C26" s="62">
        <v>1122.4</v>
      </c>
      <c r="D26" s="63" t="s">
        <v>238</v>
      </c>
      <c r="E26" s="64">
        <f>'2017-2018 RECEIPTS'!H58</f>
        <v>0</v>
      </c>
      <c r="F26" s="64">
        <v>400</v>
      </c>
      <c r="G26" s="65">
        <v>302.21</v>
      </c>
    </row>
    <row r="27" spans="1:7" ht="15">
      <c r="A27" s="61"/>
      <c r="B27" s="61"/>
      <c r="C27" s="62"/>
      <c r="D27" s="63" t="s">
        <v>243</v>
      </c>
      <c r="E27" s="64">
        <f>'2017-2018 RECEIPTS'!I58</f>
        <v>0</v>
      </c>
      <c r="F27" s="64">
        <v>3750</v>
      </c>
      <c r="G27" s="65">
        <v>3750</v>
      </c>
    </row>
    <row r="28" spans="1:7" ht="15">
      <c r="A28" s="61">
        <v>13500</v>
      </c>
      <c r="B28" s="61">
        <v>14500</v>
      </c>
      <c r="C28" s="62">
        <v>14000</v>
      </c>
      <c r="D28" s="63" t="s">
        <v>19</v>
      </c>
      <c r="E28" s="64">
        <f>'2017-2018 RECEIPTS'!J58</f>
        <v>0</v>
      </c>
      <c r="F28" s="64">
        <v>8</v>
      </c>
      <c r="G28" s="73">
        <v>8</v>
      </c>
    </row>
    <row r="29" spans="1:7" ht="15">
      <c r="A29" s="61"/>
      <c r="B29" s="61"/>
      <c r="C29" s="62"/>
      <c r="D29" s="63" t="s">
        <v>239</v>
      </c>
      <c r="E29" s="64">
        <f>'2017-2018 RECEIPTS'!K58</f>
        <v>0</v>
      </c>
      <c r="F29" s="64">
        <v>200</v>
      </c>
      <c r="G29" s="73">
        <v>200</v>
      </c>
    </row>
    <row r="30" spans="1:7" ht="15">
      <c r="A30" s="61">
        <v>500</v>
      </c>
      <c r="B30" s="61">
        <v>115</v>
      </c>
      <c r="C30" s="62">
        <v>95.9</v>
      </c>
      <c r="D30" s="63" t="s">
        <v>17</v>
      </c>
      <c r="E30" s="64">
        <f>'2017-2018 RECEIPTS'!M58</f>
        <v>0</v>
      </c>
      <c r="F30" s="64">
        <v>200</v>
      </c>
      <c r="G30" s="73">
        <v>350</v>
      </c>
    </row>
    <row r="31" spans="1:7" ht="15">
      <c r="A31" s="61"/>
      <c r="B31" s="61"/>
      <c r="C31" s="62"/>
      <c r="D31" s="63" t="s">
        <v>11</v>
      </c>
      <c r="E31" s="64">
        <f>'2017-2018 RECEIPTS'!N58</f>
        <v>0</v>
      </c>
      <c r="F31" s="64">
        <v>6653</v>
      </c>
      <c r="G31" s="73">
        <v>0</v>
      </c>
    </row>
    <row r="32" spans="1:7" ht="15">
      <c r="A32" s="61"/>
      <c r="B32" s="61"/>
      <c r="C32" s="62"/>
      <c r="D32" s="63" t="s">
        <v>2</v>
      </c>
      <c r="E32" s="64">
        <f>'2017-2018 RECEIPTS'!P58</f>
        <v>0</v>
      </c>
      <c r="F32" s="64">
        <v>1000</v>
      </c>
      <c r="G32" s="73">
        <v>0</v>
      </c>
    </row>
    <row r="33" spans="1:7" ht="15">
      <c r="A33" s="61"/>
      <c r="B33" s="61"/>
      <c r="C33" s="62"/>
      <c r="D33" s="63" t="s">
        <v>240</v>
      </c>
      <c r="E33" s="64">
        <f>'2017-2018 RECEIPTS'!Q58</f>
        <v>0</v>
      </c>
      <c r="F33" s="64">
        <v>700</v>
      </c>
      <c r="G33" s="73">
        <v>1000</v>
      </c>
    </row>
    <row r="34" spans="1:7" ht="15">
      <c r="A34" s="61"/>
      <c r="B34" s="61"/>
      <c r="C34" s="62"/>
      <c r="D34" s="63" t="s">
        <v>242</v>
      </c>
      <c r="E34" s="64">
        <f>'2017-2018 RECEIPTS'!O58</f>
        <v>0</v>
      </c>
      <c r="F34" s="64">
        <v>14000</v>
      </c>
      <c r="G34" s="73"/>
    </row>
    <row r="35" spans="1:7" ht="12.75">
      <c r="A35" s="70">
        <f>SUM(A25:A30)</f>
        <v>15750</v>
      </c>
      <c r="B35" s="70">
        <v>21396</v>
      </c>
      <c r="C35" s="71">
        <v>16739.43</v>
      </c>
      <c r="D35" s="60" t="s">
        <v>233</v>
      </c>
      <c r="E35" s="72">
        <f>SUM(E25:E34)</f>
        <v>0</v>
      </c>
      <c r="F35" s="72">
        <f>SUM(F25:F34)</f>
        <v>30661</v>
      </c>
      <c r="G35" s="73">
        <f>SUM(G25:G33)</f>
        <v>9360.21</v>
      </c>
    </row>
    <row r="36" spans="1:7" ht="15">
      <c r="A36" s="63"/>
      <c r="B36" s="63"/>
      <c r="C36" s="78"/>
      <c r="D36" s="74"/>
      <c r="E36" s="75"/>
      <c r="F36" s="76"/>
      <c r="G36" s="63"/>
    </row>
    <row r="37" spans="1:7" ht="15">
      <c r="A37" s="73">
        <v>8000</v>
      </c>
      <c r="B37" s="73">
        <v>10000</v>
      </c>
      <c r="C37" s="71">
        <v>12000</v>
      </c>
      <c r="D37" s="60"/>
      <c r="E37" s="79"/>
      <c r="F37" s="79"/>
      <c r="G37" s="69"/>
    </row>
    <row r="38" spans="1:7" ht="15">
      <c r="A38" s="63"/>
      <c r="B38" s="63"/>
      <c r="C38" s="78"/>
      <c r="D38" s="63"/>
      <c r="E38" s="64"/>
      <c r="F38" s="63"/>
      <c r="G38" s="63"/>
    </row>
    <row r="40" ht="15">
      <c r="D40" s="8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37"/>
  <sheetViews>
    <sheetView zoomScalePageLayoutView="0" workbookViewId="0" topLeftCell="A1">
      <pane xSplit="12" ySplit="18" topLeftCell="M111" activePane="bottomRight" state="frozen"/>
      <selection pane="topLeft" activeCell="A1" sqref="A1"/>
      <selection pane="topRight" activeCell="M1" sqref="M1"/>
      <selection pane="bottomLeft" activeCell="A23" sqref="A23"/>
      <selection pane="bottomRight" activeCell="J63" sqref="J63"/>
    </sheetView>
  </sheetViews>
  <sheetFormatPr defaultColWidth="9.140625" defaultRowHeight="12.75"/>
  <cols>
    <col min="1" max="1" width="8.140625" style="13" customWidth="1"/>
    <col min="2" max="2" width="8.28125" style="14" customWidth="1"/>
    <col min="3" max="3" width="7.421875" style="15" customWidth="1"/>
    <col min="4" max="4" width="17.28125" style="15" customWidth="1"/>
    <col min="5" max="5" width="22.57421875" style="15" customWidth="1"/>
    <col min="6" max="6" width="9.57421875" style="16" bestFit="1" customWidth="1"/>
    <col min="7" max="7" width="8.421875" style="16" customWidth="1"/>
    <col min="8" max="8" width="8.8515625" style="16" customWidth="1"/>
    <col min="9" max="9" width="12.28125" style="16" customWidth="1"/>
    <col min="10" max="10" width="12.00390625" style="16" customWidth="1"/>
    <col min="11" max="11" width="9.00390625" style="16" customWidth="1"/>
    <col min="12" max="12" width="10.421875" style="16" customWidth="1"/>
    <col min="13" max="13" width="11.57421875" style="16" bestFit="1" customWidth="1"/>
    <col min="14" max="14" width="8.28125" style="16" customWidth="1"/>
    <col min="15" max="15" width="9.140625" style="16" customWidth="1"/>
    <col min="16" max="16" width="9.140625" style="15" customWidth="1"/>
    <col min="17" max="17" width="11.28125" style="15" bestFit="1" customWidth="1"/>
    <col min="18" max="16384" width="9.140625" style="15" customWidth="1"/>
  </cols>
  <sheetData>
    <row r="1" spans="1:15" s="6" customFormat="1" ht="24" customHeight="1">
      <c r="A1" s="41" t="s">
        <v>33</v>
      </c>
      <c r="B1" s="4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8" customFormat="1" ht="12.75" customHeight="1">
      <c r="A2" s="7" t="s">
        <v>0</v>
      </c>
      <c r="B2" s="5" t="s">
        <v>8</v>
      </c>
      <c r="D2" s="8" t="s">
        <v>9</v>
      </c>
      <c r="E2" s="8" t="s">
        <v>10</v>
      </c>
      <c r="F2" s="3" t="s">
        <v>13</v>
      </c>
      <c r="G2" s="3" t="s">
        <v>20</v>
      </c>
      <c r="H2" s="3" t="s">
        <v>7</v>
      </c>
      <c r="I2" s="3" t="s">
        <v>21</v>
      </c>
      <c r="J2" s="3" t="s">
        <v>152</v>
      </c>
      <c r="K2" s="3" t="s">
        <v>11</v>
      </c>
      <c r="L2" s="3" t="s">
        <v>29</v>
      </c>
      <c r="M2" s="3" t="s">
        <v>37</v>
      </c>
      <c r="N2" s="3" t="s">
        <v>36</v>
      </c>
      <c r="O2" s="3" t="s">
        <v>25</v>
      </c>
    </row>
    <row r="3" spans="1:15" s="8" customFormat="1" ht="12.75">
      <c r="A3" s="7"/>
      <c r="B3" s="5" t="s">
        <v>12</v>
      </c>
      <c r="C3" s="8" t="s">
        <v>15</v>
      </c>
      <c r="F3" s="3" t="s">
        <v>14</v>
      </c>
      <c r="G3" s="3"/>
      <c r="H3" s="3"/>
      <c r="I3" s="3"/>
      <c r="J3" s="3"/>
      <c r="K3" s="3"/>
      <c r="L3" s="3"/>
      <c r="M3" s="3"/>
      <c r="N3" s="3"/>
      <c r="O3" s="3" t="s">
        <v>26</v>
      </c>
    </row>
    <row r="4" spans="1:15" s="8" customFormat="1" ht="12.75">
      <c r="A4" s="9" t="s">
        <v>23</v>
      </c>
      <c r="B4" s="5"/>
      <c r="E4" s="1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ht="12.75">
      <c r="A5" s="13" t="s">
        <v>42</v>
      </c>
      <c r="B5" s="20">
        <v>672</v>
      </c>
      <c r="C5" s="15" t="s">
        <v>16</v>
      </c>
      <c r="D5" s="15" t="s">
        <v>27</v>
      </c>
      <c r="E5" s="18" t="s">
        <v>43</v>
      </c>
      <c r="F5" s="16">
        <v>454.87</v>
      </c>
      <c r="G5" s="16">
        <f>345.67-13.83-5.66</f>
        <v>326.18</v>
      </c>
      <c r="H5" s="16">
        <v>128.69</v>
      </c>
      <c r="P5" s="15">
        <f aca="true" t="shared" si="0" ref="P5:P16">SUM(G5:O5)-F5</f>
        <v>0</v>
      </c>
    </row>
    <row r="6" spans="1:16" ht="12.75">
      <c r="A6" s="13" t="s">
        <v>42</v>
      </c>
      <c r="B6" s="20">
        <v>673</v>
      </c>
      <c r="C6" s="15" t="s">
        <v>16</v>
      </c>
      <c r="D6" s="15" t="s">
        <v>44</v>
      </c>
      <c r="E6" s="18" t="s">
        <v>45</v>
      </c>
      <c r="F6" s="16">
        <v>100</v>
      </c>
      <c r="J6" s="16">
        <v>100</v>
      </c>
      <c r="P6" s="15">
        <f t="shared" si="0"/>
        <v>0</v>
      </c>
    </row>
    <row r="7" spans="1:16" ht="12.75">
      <c r="A7" s="13" t="s">
        <v>42</v>
      </c>
      <c r="B7" s="20">
        <v>674</v>
      </c>
      <c r="C7" s="15" t="s">
        <v>16</v>
      </c>
      <c r="D7" s="15" t="s">
        <v>46</v>
      </c>
      <c r="E7" s="18" t="s">
        <v>47</v>
      </c>
      <c r="F7" s="16">
        <v>60</v>
      </c>
      <c r="O7" s="16">
        <v>60</v>
      </c>
      <c r="P7" s="15">
        <f t="shared" si="0"/>
        <v>0</v>
      </c>
    </row>
    <row r="8" spans="1:16" ht="12.75">
      <c r="A8" s="13" t="s">
        <v>42</v>
      </c>
      <c r="B8" s="20">
        <v>675</v>
      </c>
      <c r="D8" s="15" t="s">
        <v>34</v>
      </c>
      <c r="E8" s="18" t="s">
        <v>58</v>
      </c>
      <c r="P8" s="15">
        <f t="shared" si="0"/>
        <v>0</v>
      </c>
    </row>
    <row r="9" spans="1:16" ht="12.75">
      <c r="A9" s="13" t="s">
        <v>42</v>
      </c>
      <c r="B9" s="20">
        <v>676</v>
      </c>
      <c r="C9" s="15" t="s">
        <v>16</v>
      </c>
      <c r="D9" s="15" t="s">
        <v>48</v>
      </c>
      <c r="E9" s="18" t="s">
        <v>49</v>
      </c>
      <c r="F9" s="16">
        <v>83.4</v>
      </c>
      <c r="M9" s="16">
        <v>83.4</v>
      </c>
      <c r="P9" s="15">
        <f t="shared" si="0"/>
        <v>0</v>
      </c>
    </row>
    <row r="10" spans="1:16" ht="12.75">
      <c r="A10" s="13" t="s">
        <v>42</v>
      </c>
      <c r="B10" s="20">
        <v>677</v>
      </c>
      <c r="C10" s="15" t="s">
        <v>16</v>
      </c>
      <c r="D10" s="15" t="s">
        <v>31</v>
      </c>
      <c r="E10" s="18" t="s">
        <v>50</v>
      </c>
      <c r="F10" s="16">
        <v>168.62</v>
      </c>
      <c r="I10" s="16">
        <v>168.62</v>
      </c>
      <c r="P10" s="15">
        <f t="shared" si="0"/>
        <v>0</v>
      </c>
    </row>
    <row r="11" spans="1:16" ht="12.75">
      <c r="A11" s="13" t="s">
        <v>42</v>
      </c>
      <c r="B11" s="20">
        <v>678</v>
      </c>
      <c r="C11" s="15" t="s">
        <v>16</v>
      </c>
      <c r="D11" s="15" t="s">
        <v>51</v>
      </c>
      <c r="E11" s="18" t="s">
        <v>52</v>
      </c>
      <c r="F11" s="16">
        <v>50</v>
      </c>
      <c r="J11" s="16">
        <v>50</v>
      </c>
      <c r="P11" s="15">
        <f t="shared" si="0"/>
        <v>0</v>
      </c>
    </row>
    <row r="12" spans="1:16" ht="12.75">
      <c r="A12" s="13" t="s">
        <v>42</v>
      </c>
      <c r="B12" s="20">
        <v>679</v>
      </c>
      <c r="C12" s="15" t="s">
        <v>16</v>
      </c>
      <c r="D12" s="15" t="s">
        <v>53</v>
      </c>
      <c r="E12" s="18" t="s">
        <v>45</v>
      </c>
      <c r="F12" s="16">
        <v>150</v>
      </c>
      <c r="J12" s="16">
        <v>150</v>
      </c>
      <c r="P12" s="15">
        <f t="shared" si="0"/>
        <v>0</v>
      </c>
    </row>
    <row r="13" spans="1:16" ht="12.75">
      <c r="A13" s="13" t="s">
        <v>42</v>
      </c>
      <c r="B13" s="20">
        <v>680</v>
      </c>
      <c r="C13" s="15" t="s">
        <v>16</v>
      </c>
      <c r="D13" s="15" t="s">
        <v>54</v>
      </c>
      <c r="E13" s="18" t="s">
        <v>55</v>
      </c>
      <c r="F13" s="16">
        <v>50</v>
      </c>
      <c r="J13" s="16">
        <v>50</v>
      </c>
      <c r="P13" s="15">
        <f t="shared" si="0"/>
        <v>0</v>
      </c>
    </row>
    <row r="14" spans="1:16" ht="12.75">
      <c r="A14" s="13" t="s">
        <v>42</v>
      </c>
      <c r="B14" s="20">
        <v>681</v>
      </c>
      <c r="C14" s="15" t="s">
        <v>16</v>
      </c>
      <c r="D14" s="15" t="s">
        <v>54</v>
      </c>
      <c r="E14" s="18" t="s">
        <v>56</v>
      </c>
      <c r="F14" s="16">
        <v>150</v>
      </c>
      <c r="J14" s="16">
        <v>150</v>
      </c>
      <c r="P14" s="15">
        <f t="shared" si="0"/>
        <v>0</v>
      </c>
    </row>
    <row r="15" spans="5:16" ht="12.75">
      <c r="E15" s="18"/>
      <c r="P15" s="15">
        <f t="shared" si="0"/>
        <v>0</v>
      </c>
    </row>
    <row r="16" spans="5:16" ht="12.75">
      <c r="E16" s="18"/>
      <c r="P16" s="15">
        <f t="shared" si="0"/>
        <v>0</v>
      </c>
    </row>
    <row r="17" spans="2:16" s="11" customFormat="1" ht="12.75">
      <c r="B17" s="10"/>
      <c r="E17" s="11" t="s">
        <v>22</v>
      </c>
      <c r="F17" s="12">
        <f>SUM(F4:F16)</f>
        <v>1266.8899999999999</v>
      </c>
      <c r="G17" s="12">
        <f aca="true" t="shared" si="1" ref="G17:M17">SUM(G4:G15)</f>
        <v>326.18</v>
      </c>
      <c r="H17" s="12">
        <f t="shared" si="1"/>
        <v>128.69</v>
      </c>
      <c r="I17" s="12">
        <f t="shared" si="1"/>
        <v>168.62</v>
      </c>
      <c r="J17" s="12">
        <f t="shared" si="1"/>
        <v>500</v>
      </c>
      <c r="K17" s="12">
        <f t="shared" si="1"/>
        <v>0</v>
      </c>
      <c r="L17" s="12">
        <f t="shared" si="1"/>
        <v>0</v>
      </c>
      <c r="M17" s="12">
        <f t="shared" si="1"/>
        <v>83.4</v>
      </c>
      <c r="N17" s="12">
        <f>SUM(N4:N16)</f>
        <v>0</v>
      </c>
      <c r="O17" s="12">
        <f>SUM(O4:O16)</f>
        <v>60</v>
      </c>
      <c r="P17" s="15">
        <f>SUM(G17:O17)-F17</f>
        <v>0</v>
      </c>
    </row>
    <row r="18" spans="1:16" s="11" customFormat="1" ht="12.75">
      <c r="A18" s="9" t="s">
        <v>59</v>
      </c>
      <c r="B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5">
        <f aca="true" t="shared" si="2" ref="P18:P33">SUM(G18:O18)-F18</f>
        <v>0</v>
      </c>
    </row>
    <row r="19" spans="1:16" ht="12.75">
      <c r="A19" s="15"/>
      <c r="P19" s="15">
        <f t="shared" si="2"/>
        <v>0</v>
      </c>
    </row>
    <row r="20" spans="1:16" ht="12.75">
      <c r="A20" s="13" t="s">
        <v>60</v>
      </c>
      <c r="B20" s="20">
        <v>682</v>
      </c>
      <c r="C20" s="15" t="s">
        <v>16</v>
      </c>
      <c r="D20" s="15" t="s">
        <v>63</v>
      </c>
      <c r="E20" s="18" t="s">
        <v>64</v>
      </c>
      <c r="F20" s="16">
        <v>86.19</v>
      </c>
      <c r="O20" s="16">
        <v>86.19</v>
      </c>
      <c r="P20" s="15">
        <f t="shared" si="2"/>
        <v>0</v>
      </c>
    </row>
    <row r="21" spans="1:17" ht="12.75">
      <c r="A21" s="29" t="s">
        <v>60</v>
      </c>
      <c r="B21" s="122">
        <v>683</v>
      </c>
      <c r="C21" s="18" t="s">
        <v>16</v>
      </c>
      <c r="D21" s="18" t="s">
        <v>61</v>
      </c>
      <c r="E21" s="18" t="s">
        <v>62</v>
      </c>
      <c r="F21" s="31">
        <v>628.68</v>
      </c>
      <c r="G21" s="31"/>
      <c r="H21" s="31"/>
      <c r="I21" s="31"/>
      <c r="J21" s="31"/>
      <c r="K21" s="31">
        <v>104.78</v>
      </c>
      <c r="L21" s="31">
        <v>523.9</v>
      </c>
      <c r="M21" s="31"/>
      <c r="N21" s="31"/>
      <c r="O21" s="31"/>
      <c r="P21" s="15">
        <f t="shared" si="2"/>
        <v>0</v>
      </c>
      <c r="Q21" s="18"/>
    </row>
    <row r="22" spans="1:17" ht="12.75">
      <c r="A22" s="29" t="s">
        <v>60</v>
      </c>
      <c r="B22" s="122">
        <v>684</v>
      </c>
      <c r="C22" s="18" t="s">
        <v>16</v>
      </c>
      <c r="D22" s="18" t="s">
        <v>65</v>
      </c>
      <c r="E22" s="18" t="s">
        <v>36</v>
      </c>
      <c r="F22" s="31">
        <v>19.8</v>
      </c>
      <c r="G22" s="31"/>
      <c r="H22" s="31"/>
      <c r="I22" s="31"/>
      <c r="J22" s="31"/>
      <c r="K22" s="31">
        <v>3.3</v>
      </c>
      <c r="L22" s="31"/>
      <c r="M22" s="31"/>
      <c r="N22" s="31">
        <v>16.5</v>
      </c>
      <c r="O22" s="31"/>
      <c r="P22" s="15">
        <f t="shared" si="2"/>
        <v>0</v>
      </c>
      <c r="Q22" s="18"/>
    </row>
    <row r="23" spans="1:17" ht="12.75" customHeight="1">
      <c r="A23" s="29" t="s">
        <v>60</v>
      </c>
      <c r="B23" s="122">
        <v>685</v>
      </c>
      <c r="C23" s="18" t="s">
        <v>16</v>
      </c>
      <c r="D23" s="18" t="s">
        <v>27</v>
      </c>
      <c r="E23" s="18" t="s">
        <v>43</v>
      </c>
      <c r="F23" s="31">
        <v>598.34</v>
      </c>
      <c r="G23" s="31">
        <f>509.82-20.17</f>
        <v>489.65</v>
      </c>
      <c r="H23" s="31">
        <v>108.69</v>
      </c>
      <c r="I23" s="31"/>
      <c r="J23" s="31"/>
      <c r="K23" s="31"/>
      <c r="L23" s="31"/>
      <c r="M23" s="31"/>
      <c r="N23" s="31"/>
      <c r="O23" s="31"/>
      <c r="P23" s="15">
        <f t="shared" si="2"/>
        <v>0</v>
      </c>
      <c r="Q23" s="18"/>
    </row>
    <row r="24" spans="1:17" ht="12.75" customHeight="1">
      <c r="A24" s="29"/>
      <c r="B24" s="30"/>
      <c r="C24" s="18"/>
      <c r="D24" s="18" t="s">
        <v>69</v>
      </c>
      <c r="E24" s="18" t="s">
        <v>82</v>
      </c>
      <c r="F24" s="31">
        <v>118.99</v>
      </c>
      <c r="G24" s="31">
        <v>118.99</v>
      </c>
      <c r="H24" s="31"/>
      <c r="I24" s="31"/>
      <c r="J24" s="31"/>
      <c r="K24" s="31"/>
      <c r="L24" s="31"/>
      <c r="M24" s="31"/>
      <c r="N24" s="31"/>
      <c r="O24" s="31"/>
      <c r="P24" s="15">
        <f t="shared" si="2"/>
        <v>0</v>
      </c>
      <c r="Q24" s="18"/>
    </row>
    <row r="25" spans="2:16" s="11" customFormat="1" ht="12.75">
      <c r="B25" s="10"/>
      <c r="E25" s="11" t="s">
        <v>22</v>
      </c>
      <c r="F25" s="12">
        <f>SUM(F19:F24)</f>
        <v>1451.9999999999998</v>
      </c>
      <c r="G25" s="12">
        <f>SUM(G19:G24)</f>
        <v>608.64</v>
      </c>
      <c r="H25" s="12">
        <f aca="true" t="shared" si="3" ref="H25:O25">SUM(H19:H23)</f>
        <v>108.69</v>
      </c>
      <c r="I25" s="12">
        <f t="shared" si="3"/>
        <v>0</v>
      </c>
      <c r="J25" s="12">
        <f t="shared" si="3"/>
        <v>0</v>
      </c>
      <c r="K25" s="12">
        <f t="shared" si="3"/>
        <v>108.08</v>
      </c>
      <c r="L25" s="12">
        <f t="shared" si="3"/>
        <v>523.9</v>
      </c>
      <c r="M25" s="12">
        <f t="shared" si="3"/>
        <v>0</v>
      </c>
      <c r="N25" s="12">
        <f t="shared" si="3"/>
        <v>16.5</v>
      </c>
      <c r="O25" s="12">
        <f t="shared" si="3"/>
        <v>86.19</v>
      </c>
      <c r="P25" s="15">
        <f t="shared" si="2"/>
        <v>0</v>
      </c>
    </row>
    <row r="26" spans="2:16" s="11" customFormat="1" ht="12.75">
      <c r="B26" s="1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5">
        <f t="shared" si="2"/>
        <v>0</v>
      </c>
    </row>
    <row r="27" spans="1:16" s="11" customFormat="1" ht="12.75">
      <c r="A27" s="11" t="s">
        <v>66</v>
      </c>
      <c r="B27" s="10"/>
      <c r="E27" s="11" t="s">
        <v>27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5">
        <f t="shared" si="2"/>
        <v>0</v>
      </c>
    </row>
    <row r="28" spans="1:16" ht="12.75">
      <c r="A28" s="15" t="s">
        <v>67</v>
      </c>
      <c r="B28" s="20">
        <v>686</v>
      </c>
      <c r="C28" s="15" t="s">
        <v>16</v>
      </c>
      <c r="D28" s="15" t="s">
        <v>65</v>
      </c>
      <c r="E28" s="15" t="s">
        <v>83</v>
      </c>
      <c r="F28" s="16">
        <v>9.18</v>
      </c>
      <c r="K28" s="16">
        <v>1.53</v>
      </c>
      <c r="N28" s="16">
        <v>7.65</v>
      </c>
      <c r="P28" s="15">
        <f t="shared" si="2"/>
        <v>0</v>
      </c>
    </row>
    <row r="29" spans="1:16" ht="12.75">
      <c r="A29" s="15" t="s">
        <v>67</v>
      </c>
      <c r="B29" s="20">
        <v>689</v>
      </c>
      <c r="C29" s="15" t="s">
        <v>16</v>
      </c>
      <c r="D29" s="15" t="s">
        <v>84</v>
      </c>
      <c r="E29" s="15" t="s">
        <v>85</v>
      </c>
      <c r="F29" s="16">
        <v>25.6</v>
      </c>
      <c r="G29" s="16">
        <v>25.6</v>
      </c>
      <c r="P29" s="15">
        <f t="shared" si="2"/>
        <v>0</v>
      </c>
    </row>
    <row r="30" spans="1:16" ht="12.75">
      <c r="A30" s="15" t="s">
        <v>67</v>
      </c>
      <c r="B30" s="20">
        <v>688</v>
      </c>
      <c r="D30" s="15" t="s">
        <v>86</v>
      </c>
      <c r="E30" s="15" t="s">
        <v>87</v>
      </c>
      <c r="F30" s="16">
        <v>120</v>
      </c>
      <c r="K30" s="16">
        <v>20</v>
      </c>
      <c r="O30" s="16">
        <v>100</v>
      </c>
      <c r="P30" s="15">
        <f t="shared" si="2"/>
        <v>0</v>
      </c>
    </row>
    <row r="31" spans="1:16" ht="12.75">
      <c r="A31" s="15" t="s">
        <v>67</v>
      </c>
      <c r="B31" s="20">
        <v>687</v>
      </c>
      <c r="C31" s="15" t="s">
        <v>16</v>
      </c>
      <c r="D31" s="15" t="s">
        <v>90</v>
      </c>
      <c r="E31" s="15" t="s">
        <v>27</v>
      </c>
      <c r="F31" s="16">
        <v>540.19</v>
      </c>
      <c r="G31" s="16">
        <f>473.23-25.6-18.93</f>
        <v>428.7</v>
      </c>
      <c r="H31" s="16">
        <v>111.49</v>
      </c>
      <c r="P31" s="15">
        <f t="shared" si="2"/>
        <v>0</v>
      </c>
    </row>
    <row r="32" spans="1:16" ht="12.75">
      <c r="A32" s="15" t="s">
        <v>67</v>
      </c>
      <c r="B32" s="20">
        <v>690</v>
      </c>
      <c r="C32" s="15" t="s">
        <v>16</v>
      </c>
      <c r="D32" s="15" t="s">
        <v>88</v>
      </c>
      <c r="E32" s="15" t="s">
        <v>89</v>
      </c>
      <c r="F32" s="16">
        <v>270</v>
      </c>
      <c r="O32" s="16">
        <v>270</v>
      </c>
      <c r="P32" s="15">
        <f t="shared" si="2"/>
        <v>0</v>
      </c>
    </row>
    <row r="33" spans="1:16" ht="12.75">
      <c r="A33" s="15" t="s">
        <v>91</v>
      </c>
      <c r="B33" s="14" t="s">
        <v>68</v>
      </c>
      <c r="C33" s="15" t="s">
        <v>16</v>
      </c>
      <c r="D33" s="15" t="s">
        <v>69</v>
      </c>
      <c r="F33" s="16">
        <v>66.25</v>
      </c>
      <c r="G33" s="16">
        <v>66.25</v>
      </c>
      <c r="P33" s="15">
        <f t="shared" si="2"/>
        <v>0</v>
      </c>
    </row>
    <row r="34" spans="1:16" ht="12.75">
      <c r="A34" s="15"/>
      <c r="P34" s="15">
        <f aca="true" t="shared" si="4" ref="P34:P44">SUM(G34:O34)-F34</f>
        <v>0</v>
      </c>
    </row>
    <row r="35" spans="1:16" ht="12.75">
      <c r="A35" s="15"/>
      <c r="P35" s="15">
        <f t="shared" si="4"/>
        <v>0</v>
      </c>
    </row>
    <row r="36" spans="1:16" ht="12.75">
      <c r="A36" s="11"/>
      <c r="P36" s="15">
        <f t="shared" si="4"/>
        <v>0</v>
      </c>
    </row>
    <row r="37" spans="5:16" ht="12.75">
      <c r="E37" s="18"/>
      <c r="P37" s="15">
        <f t="shared" si="4"/>
        <v>0</v>
      </c>
    </row>
    <row r="38" spans="5:16" ht="12.75">
      <c r="E38" s="18"/>
      <c r="P38" s="15">
        <f t="shared" si="4"/>
        <v>0</v>
      </c>
    </row>
    <row r="39" spans="1:16" s="11" customFormat="1" ht="12.75">
      <c r="A39" s="9"/>
      <c r="B39" s="10"/>
      <c r="E39" s="11" t="s">
        <v>22</v>
      </c>
      <c r="F39" s="12">
        <f>SUM(F27:F38)</f>
        <v>1031.22</v>
      </c>
      <c r="G39" s="12">
        <f aca="true" t="shared" si="5" ref="G39:O39">SUM(G27:G38)</f>
        <v>520.55</v>
      </c>
      <c r="H39" s="12">
        <f t="shared" si="5"/>
        <v>111.49</v>
      </c>
      <c r="I39" s="12">
        <f t="shared" si="5"/>
        <v>0</v>
      </c>
      <c r="J39" s="12">
        <f t="shared" si="5"/>
        <v>0</v>
      </c>
      <c r="K39" s="12">
        <f t="shared" si="5"/>
        <v>21.53</v>
      </c>
      <c r="L39" s="12">
        <f t="shared" si="5"/>
        <v>0</v>
      </c>
      <c r="M39" s="12">
        <f t="shared" si="5"/>
        <v>0</v>
      </c>
      <c r="N39" s="12">
        <f t="shared" si="5"/>
        <v>7.65</v>
      </c>
      <c r="O39" s="12">
        <f t="shared" si="5"/>
        <v>370</v>
      </c>
      <c r="P39" s="15">
        <f t="shared" si="4"/>
        <v>0</v>
      </c>
    </row>
    <row r="40" spans="1:16" s="11" customFormat="1" ht="12.75">
      <c r="A40" s="9"/>
      <c r="B40" s="10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5">
        <f t="shared" si="4"/>
        <v>0</v>
      </c>
    </row>
    <row r="41" spans="1:16" ht="12.75">
      <c r="A41" s="9" t="s">
        <v>70</v>
      </c>
      <c r="E41" s="18"/>
      <c r="P41" s="15">
        <f t="shared" si="4"/>
        <v>0</v>
      </c>
    </row>
    <row r="42" spans="2:16" ht="12.75">
      <c r="B42" s="20"/>
      <c r="G42" s="15"/>
      <c r="H42" s="15"/>
      <c r="I42" s="15"/>
      <c r="J42" s="15"/>
      <c r="L42" s="15"/>
      <c r="M42" s="15"/>
      <c r="N42" s="15"/>
      <c r="O42" s="15"/>
      <c r="P42" s="15">
        <f t="shared" si="4"/>
        <v>0</v>
      </c>
    </row>
    <row r="43" spans="1:16" ht="12.75">
      <c r="A43" s="13" t="s">
        <v>92</v>
      </c>
      <c r="B43" s="20">
        <v>691</v>
      </c>
      <c r="C43" s="15" t="s">
        <v>16</v>
      </c>
      <c r="D43" s="15" t="s">
        <v>93</v>
      </c>
      <c r="E43" s="18"/>
      <c r="P43" s="15">
        <f t="shared" si="4"/>
        <v>0</v>
      </c>
    </row>
    <row r="44" spans="2:16" ht="12.75">
      <c r="B44" s="14" t="s">
        <v>103</v>
      </c>
      <c r="C44" s="15" t="s">
        <v>16</v>
      </c>
      <c r="D44" s="15" t="s">
        <v>69</v>
      </c>
      <c r="E44" s="18" t="s">
        <v>82</v>
      </c>
      <c r="F44" s="16">
        <v>68.46</v>
      </c>
      <c r="G44" s="16">
        <v>68.46</v>
      </c>
      <c r="P44" s="15">
        <f t="shared" si="4"/>
        <v>0</v>
      </c>
    </row>
    <row r="45" spans="1:16" ht="12.75">
      <c r="A45" s="13" t="s">
        <v>92</v>
      </c>
      <c r="B45" s="20">
        <v>692</v>
      </c>
      <c r="C45" s="15" t="s">
        <v>16</v>
      </c>
      <c r="D45" s="15" t="s">
        <v>20</v>
      </c>
      <c r="E45" s="18" t="s">
        <v>98</v>
      </c>
      <c r="F45" s="16">
        <v>507.07</v>
      </c>
      <c r="G45" s="16">
        <v>489</v>
      </c>
      <c r="H45" s="16">
        <f>77.03-19.56-39.4</f>
        <v>18.07</v>
      </c>
      <c r="P45" s="15">
        <f aca="true" t="shared" si="6" ref="P45:P68">SUM(G45:O45)-F45</f>
        <v>0</v>
      </c>
    </row>
    <row r="46" spans="1:16" ht="12.75">
      <c r="A46" s="13" t="s">
        <v>92</v>
      </c>
      <c r="B46" s="20">
        <v>693</v>
      </c>
      <c r="C46" s="15" t="s">
        <v>16</v>
      </c>
      <c r="D46" s="15" t="s">
        <v>95</v>
      </c>
      <c r="E46" s="18" t="s">
        <v>96</v>
      </c>
      <c r="F46" s="16">
        <v>39.4</v>
      </c>
      <c r="H46" s="16">
        <v>39.4</v>
      </c>
      <c r="P46" s="15">
        <f t="shared" si="6"/>
        <v>0</v>
      </c>
    </row>
    <row r="47" spans="1:16" ht="12.75">
      <c r="A47" s="13" t="s">
        <v>92</v>
      </c>
      <c r="B47" s="17">
        <v>694</v>
      </c>
      <c r="C47" s="15" t="s">
        <v>16</v>
      </c>
      <c r="D47" s="15" t="s">
        <v>65</v>
      </c>
      <c r="E47" s="15" t="s">
        <v>36</v>
      </c>
      <c r="F47" s="15">
        <v>15.12</v>
      </c>
      <c r="G47" s="15"/>
      <c r="H47" s="15"/>
      <c r="I47" s="15"/>
      <c r="J47" s="15"/>
      <c r="K47" s="15">
        <v>2.52</v>
      </c>
      <c r="L47" s="15"/>
      <c r="M47" s="15"/>
      <c r="N47" s="15">
        <v>12.6</v>
      </c>
      <c r="O47" s="15"/>
      <c r="P47" s="15">
        <f t="shared" si="6"/>
        <v>0</v>
      </c>
    </row>
    <row r="48" spans="1:16" ht="12.75">
      <c r="A48" s="13" t="s">
        <v>92</v>
      </c>
      <c r="B48" s="17">
        <v>695</v>
      </c>
      <c r="C48" s="15" t="s">
        <v>16</v>
      </c>
      <c r="D48" s="15" t="s">
        <v>94</v>
      </c>
      <c r="E48" s="15" t="s">
        <v>97</v>
      </c>
      <c r="F48" s="15">
        <v>79.2</v>
      </c>
      <c r="G48" s="15"/>
      <c r="H48" s="15"/>
      <c r="I48" s="15"/>
      <c r="J48" s="15"/>
      <c r="K48" s="15">
        <v>13.2</v>
      </c>
      <c r="L48" s="15">
        <v>66</v>
      </c>
      <c r="M48" s="15"/>
      <c r="N48" s="15"/>
      <c r="O48" s="15"/>
      <c r="P48" s="15">
        <f t="shared" si="6"/>
        <v>0</v>
      </c>
    </row>
    <row r="49" spans="1:16" ht="12.75">
      <c r="A49" s="13" t="s">
        <v>92</v>
      </c>
      <c r="B49" s="17">
        <v>696</v>
      </c>
      <c r="C49" s="15" t="s">
        <v>16</v>
      </c>
      <c r="D49" s="15" t="s">
        <v>100</v>
      </c>
      <c r="E49" s="15" t="s">
        <v>101</v>
      </c>
      <c r="F49" s="15">
        <v>537.49</v>
      </c>
      <c r="G49" s="15"/>
      <c r="H49" s="15"/>
      <c r="I49" s="15"/>
      <c r="J49" s="15"/>
      <c r="K49" s="15">
        <v>89.57</v>
      </c>
      <c r="L49" s="15"/>
      <c r="M49" s="15">
        <v>447.92</v>
      </c>
      <c r="N49" s="15"/>
      <c r="O49" s="15"/>
      <c r="P49" s="15">
        <f t="shared" si="6"/>
        <v>0</v>
      </c>
    </row>
    <row r="50" spans="1:18" ht="12.75">
      <c r="A50" s="13" t="s">
        <v>104</v>
      </c>
      <c r="B50" s="17" t="s">
        <v>103</v>
      </c>
      <c r="D50" s="15" t="s">
        <v>102</v>
      </c>
      <c r="E50" s="15" t="s">
        <v>105</v>
      </c>
      <c r="F50" s="15">
        <v>15.12</v>
      </c>
      <c r="G50" s="15"/>
      <c r="H50" s="15"/>
      <c r="I50" s="15"/>
      <c r="J50" s="15"/>
      <c r="K50" s="15"/>
      <c r="L50" s="15"/>
      <c r="M50" s="15"/>
      <c r="N50" s="15">
        <v>15.12</v>
      </c>
      <c r="O50" s="15"/>
      <c r="P50" s="15">
        <f t="shared" si="6"/>
        <v>0</v>
      </c>
      <c r="R50" s="15" t="s">
        <v>114</v>
      </c>
    </row>
    <row r="51" spans="2:16" ht="12.75">
      <c r="B51" s="1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f t="shared" si="6"/>
        <v>0</v>
      </c>
    </row>
    <row r="52" spans="1:16" ht="12.75">
      <c r="A52" s="15"/>
      <c r="B52" s="1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>
        <f t="shared" si="6"/>
        <v>0</v>
      </c>
    </row>
    <row r="53" spans="1:16" ht="12.75">
      <c r="A53" s="15"/>
      <c r="B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>
        <f t="shared" si="6"/>
        <v>0</v>
      </c>
    </row>
    <row r="54" spans="1:16" ht="12.75">
      <c r="A54" s="15"/>
      <c r="B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f t="shared" si="6"/>
        <v>0</v>
      </c>
    </row>
    <row r="55" spans="16:20" ht="15">
      <c r="P55" s="15">
        <f t="shared" si="6"/>
        <v>0</v>
      </c>
      <c r="T55" s="39"/>
    </row>
    <row r="56" spans="16:20" ht="15">
      <c r="P56" s="15">
        <f t="shared" si="6"/>
        <v>0</v>
      </c>
      <c r="T56" s="39"/>
    </row>
    <row r="57" spans="1:20" s="11" customFormat="1" ht="15">
      <c r="A57" s="9" t="s">
        <v>24</v>
      </c>
      <c r="B57" s="10"/>
      <c r="E57" s="11" t="s">
        <v>22</v>
      </c>
      <c r="F57" s="12">
        <f>SUM(F41:F55)</f>
        <v>1261.86</v>
      </c>
      <c r="G57" s="12">
        <f aca="true" t="shared" si="7" ref="G57:O57">SUM(G41:G55)</f>
        <v>557.46</v>
      </c>
      <c r="H57" s="12">
        <f t="shared" si="7"/>
        <v>57.47</v>
      </c>
      <c r="I57" s="12">
        <f t="shared" si="7"/>
        <v>0</v>
      </c>
      <c r="J57" s="12">
        <f t="shared" si="7"/>
        <v>0</v>
      </c>
      <c r="K57" s="12">
        <f t="shared" si="7"/>
        <v>105.28999999999999</v>
      </c>
      <c r="L57" s="12">
        <f t="shared" si="7"/>
        <v>66</v>
      </c>
      <c r="M57" s="12">
        <f t="shared" si="7"/>
        <v>447.92</v>
      </c>
      <c r="N57" s="12">
        <f t="shared" si="7"/>
        <v>27.72</v>
      </c>
      <c r="O57" s="12">
        <f t="shared" si="7"/>
        <v>0</v>
      </c>
      <c r="P57" s="15">
        <f>SUM(G57:O57)-F57</f>
        <v>0</v>
      </c>
      <c r="T57" s="39"/>
    </row>
    <row r="58" spans="1:20" s="11" customFormat="1" ht="15">
      <c r="A58" s="9"/>
      <c r="B58" s="10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5"/>
      <c r="T58" s="39"/>
    </row>
    <row r="59" spans="1:20" s="11" customFormat="1" ht="15">
      <c r="A59" s="9"/>
      <c r="B59" s="10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5"/>
      <c r="T59" s="39"/>
    </row>
    <row r="60" spans="2:20" ht="15">
      <c r="B60" s="14" t="s">
        <v>103</v>
      </c>
      <c r="C60" s="15" t="s">
        <v>16</v>
      </c>
      <c r="D60" s="15" t="s">
        <v>69</v>
      </c>
      <c r="E60" s="15" t="s">
        <v>111</v>
      </c>
      <c r="F60" s="16">
        <v>68.46</v>
      </c>
      <c r="G60" s="16">
        <v>68.46</v>
      </c>
      <c r="P60" s="15">
        <f t="shared" si="6"/>
        <v>0</v>
      </c>
      <c r="T60" s="39"/>
    </row>
    <row r="61" spans="2:20" ht="15">
      <c r="B61" s="14" t="s">
        <v>103</v>
      </c>
      <c r="C61" s="15" t="s">
        <v>16</v>
      </c>
      <c r="D61" s="15" t="s">
        <v>65</v>
      </c>
      <c r="F61" s="16">
        <v>6.48</v>
      </c>
      <c r="K61" s="16">
        <v>3.6</v>
      </c>
      <c r="N61" s="16">
        <v>2.88</v>
      </c>
      <c r="P61" s="15">
        <f t="shared" si="6"/>
        <v>0</v>
      </c>
      <c r="T61" s="39"/>
    </row>
    <row r="62" spans="1:20" ht="15">
      <c r="A62" s="13" t="s">
        <v>106</v>
      </c>
      <c r="B62" s="20">
        <v>697</v>
      </c>
      <c r="C62" s="15" t="s">
        <v>16</v>
      </c>
      <c r="D62" s="15" t="s">
        <v>27</v>
      </c>
      <c r="E62" s="15" t="s">
        <v>43</v>
      </c>
      <c r="F62" s="16">
        <v>476.51</v>
      </c>
      <c r="G62" s="16">
        <f>489-19.56-39.2</f>
        <v>430.24</v>
      </c>
      <c r="H62" s="16">
        <v>46.27</v>
      </c>
      <c r="P62" s="15">
        <f t="shared" si="6"/>
        <v>0</v>
      </c>
      <c r="T62" s="39"/>
    </row>
    <row r="63" spans="1:20" ht="15">
      <c r="A63" s="13" t="s">
        <v>106</v>
      </c>
      <c r="B63" s="20">
        <v>698</v>
      </c>
      <c r="C63" s="15" t="s">
        <v>16</v>
      </c>
      <c r="D63" s="15" t="s">
        <v>84</v>
      </c>
      <c r="E63" s="15" t="s">
        <v>96</v>
      </c>
      <c r="F63" s="16">
        <v>39.2</v>
      </c>
      <c r="G63" s="16">
        <v>39.2</v>
      </c>
      <c r="P63" s="15">
        <f t="shared" si="6"/>
        <v>0</v>
      </c>
      <c r="T63" s="39"/>
    </row>
    <row r="64" spans="1:16" ht="12.75">
      <c r="A64" s="13" t="s">
        <v>106</v>
      </c>
      <c r="B64" s="20">
        <v>699</v>
      </c>
      <c r="C64" s="15" t="s">
        <v>16</v>
      </c>
      <c r="D64" s="15" t="s">
        <v>107</v>
      </c>
      <c r="E64" s="15" t="s">
        <v>108</v>
      </c>
      <c r="F64" s="16">
        <v>300</v>
      </c>
      <c r="M64" s="16">
        <v>300</v>
      </c>
      <c r="P64" s="15">
        <f t="shared" si="6"/>
        <v>0</v>
      </c>
    </row>
    <row r="65" spans="1:16" ht="12.75">
      <c r="A65" s="13" t="s">
        <v>106</v>
      </c>
      <c r="B65" s="20">
        <v>700</v>
      </c>
      <c r="C65" s="15" t="s">
        <v>16</v>
      </c>
      <c r="D65" s="15" t="s">
        <v>109</v>
      </c>
      <c r="E65" s="15" t="s">
        <v>110</v>
      </c>
      <c r="F65" s="16">
        <v>43.2</v>
      </c>
      <c r="K65" s="16">
        <v>7.2</v>
      </c>
      <c r="M65" s="16">
        <v>36</v>
      </c>
      <c r="P65" s="15">
        <f t="shared" si="6"/>
        <v>0</v>
      </c>
    </row>
    <row r="66" ht="12.75">
      <c r="P66" s="15">
        <f t="shared" si="6"/>
        <v>0</v>
      </c>
    </row>
    <row r="67" ht="12.75">
      <c r="P67" s="15">
        <f t="shared" si="6"/>
        <v>0</v>
      </c>
    </row>
    <row r="68" spans="1:16" ht="12.75">
      <c r="A68" s="9" t="s">
        <v>112</v>
      </c>
      <c r="B68" s="10"/>
      <c r="C68" s="11"/>
      <c r="D68" s="11"/>
      <c r="E68" s="11" t="s">
        <v>22</v>
      </c>
      <c r="F68" s="12">
        <f>SUM(F60:F66)</f>
        <v>933.8500000000001</v>
      </c>
      <c r="G68" s="12">
        <f aca="true" t="shared" si="8" ref="G68:O68">SUM(G60:G66)</f>
        <v>537.9</v>
      </c>
      <c r="H68" s="12">
        <f t="shared" si="8"/>
        <v>46.27</v>
      </c>
      <c r="I68" s="12">
        <f t="shared" si="8"/>
        <v>0</v>
      </c>
      <c r="J68" s="12">
        <f t="shared" si="8"/>
        <v>0</v>
      </c>
      <c r="K68" s="12">
        <f t="shared" si="8"/>
        <v>10.8</v>
      </c>
      <c r="L68" s="12">
        <f t="shared" si="8"/>
        <v>0</v>
      </c>
      <c r="M68" s="12">
        <f t="shared" si="8"/>
        <v>336</v>
      </c>
      <c r="N68" s="12">
        <f t="shared" si="8"/>
        <v>2.88</v>
      </c>
      <c r="O68" s="12">
        <f t="shared" si="8"/>
        <v>0</v>
      </c>
      <c r="P68" s="15">
        <f t="shared" si="6"/>
        <v>0</v>
      </c>
    </row>
    <row r="69" spans="1:20" s="11" customFormat="1" ht="15">
      <c r="A69" s="9"/>
      <c r="B69" s="10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5"/>
      <c r="T69" s="39"/>
    </row>
    <row r="70" spans="1:20" ht="15">
      <c r="A70" s="13" t="s">
        <v>116</v>
      </c>
      <c r="B70" s="14" t="s">
        <v>103</v>
      </c>
      <c r="C70" s="15" t="s">
        <v>16</v>
      </c>
      <c r="D70" s="15" t="s">
        <v>69</v>
      </c>
      <c r="E70" s="15" t="s">
        <v>111</v>
      </c>
      <c r="F70" s="16">
        <v>66.25</v>
      </c>
      <c r="G70" s="16">
        <v>66.25</v>
      </c>
      <c r="P70" s="15">
        <f aca="true" t="shared" si="9" ref="P70:P94">SUM(G70:O70)-F70</f>
        <v>0</v>
      </c>
      <c r="T70" s="39"/>
    </row>
    <row r="71" spans="2:20" ht="15">
      <c r="B71" s="14" t="s">
        <v>103</v>
      </c>
      <c r="C71" s="15" t="s">
        <v>16</v>
      </c>
      <c r="D71" s="15" t="s">
        <v>65</v>
      </c>
      <c r="E71" s="15" t="s">
        <v>83</v>
      </c>
      <c r="F71" s="16">
        <v>25.2</v>
      </c>
      <c r="K71" s="16">
        <v>4.2</v>
      </c>
      <c r="O71" s="16">
        <v>21</v>
      </c>
      <c r="P71" s="15">
        <f t="shared" si="9"/>
        <v>0</v>
      </c>
      <c r="T71" s="39"/>
    </row>
    <row r="72" spans="1:20" ht="15">
      <c r="A72" s="13" t="s">
        <v>113</v>
      </c>
      <c r="B72" s="20">
        <v>701</v>
      </c>
      <c r="C72" s="15" t="s">
        <v>16</v>
      </c>
      <c r="D72" s="15" t="s">
        <v>27</v>
      </c>
      <c r="E72" s="15" t="s">
        <v>43</v>
      </c>
      <c r="F72" s="16">
        <v>464.45</v>
      </c>
      <c r="G72" s="16">
        <f>473.23-18.93-36.2</f>
        <v>418.1</v>
      </c>
      <c r="H72" s="16">
        <v>46.35</v>
      </c>
      <c r="P72" s="15">
        <f t="shared" si="9"/>
        <v>0</v>
      </c>
      <c r="T72" s="39"/>
    </row>
    <row r="73" spans="1:20" ht="15">
      <c r="A73" s="13" t="s">
        <v>113</v>
      </c>
      <c r="B73" s="20">
        <v>702</v>
      </c>
      <c r="C73" s="15" t="s">
        <v>16</v>
      </c>
      <c r="D73" s="15" t="s">
        <v>84</v>
      </c>
      <c r="E73" s="15" t="s">
        <v>96</v>
      </c>
      <c r="F73" s="16">
        <v>36.2</v>
      </c>
      <c r="G73" s="16">
        <v>36.2</v>
      </c>
      <c r="P73" s="15">
        <f t="shared" si="9"/>
        <v>0</v>
      </c>
      <c r="T73" s="39"/>
    </row>
    <row r="74" spans="1:16" ht="12.75">
      <c r="A74" s="13" t="s">
        <v>113</v>
      </c>
      <c r="B74" s="20">
        <v>703</v>
      </c>
      <c r="C74" s="15" t="s">
        <v>16</v>
      </c>
      <c r="D74" s="15" t="s">
        <v>117</v>
      </c>
      <c r="E74" s="15" t="s">
        <v>118</v>
      </c>
      <c r="F74" s="16">
        <v>416.64</v>
      </c>
      <c r="M74" s="16">
        <v>416.64</v>
      </c>
      <c r="P74" s="15">
        <f t="shared" si="9"/>
        <v>0</v>
      </c>
    </row>
    <row r="75" ht="12.75">
      <c r="P75" s="15">
        <f t="shared" si="9"/>
        <v>0</v>
      </c>
    </row>
    <row r="76" spans="1:18" ht="12.75">
      <c r="A76" s="9"/>
      <c r="B76" s="10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5">
        <f t="shared" si="9"/>
        <v>0</v>
      </c>
      <c r="R76" s="46"/>
    </row>
    <row r="77" spans="1:254" ht="15">
      <c r="A77" s="9" t="s">
        <v>115</v>
      </c>
      <c r="B77" s="10"/>
      <c r="C77" s="11"/>
      <c r="D77" s="11"/>
      <c r="E77" s="11" t="s">
        <v>22</v>
      </c>
      <c r="F77" s="12">
        <f>SUM(F70:F75)</f>
        <v>1008.74</v>
      </c>
      <c r="G77" s="12">
        <f aca="true" t="shared" si="10" ref="G77:O77">SUM(G70:G75)</f>
        <v>520.5500000000001</v>
      </c>
      <c r="H77" s="12">
        <f t="shared" si="10"/>
        <v>46.35</v>
      </c>
      <c r="I77" s="12">
        <f t="shared" si="10"/>
        <v>0</v>
      </c>
      <c r="J77" s="12">
        <f t="shared" si="10"/>
        <v>0</v>
      </c>
      <c r="K77" s="12">
        <f t="shared" si="10"/>
        <v>4.2</v>
      </c>
      <c r="L77" s="12">
        <f t="shared" si="10"/>
        <v>0</v>
      </c>
      <c r="M77" s="12">
        <f t="shared" si="10"/>
        <v>416.64</v>
      </c>
      <c r="N77" s="12">
        <f t="shared" si="10"/>
        <v>0</v>
      </c>
      <c r="O77" s="12">
        <f t="shared" si="10"/>
        <v>21</v>
      </c>
      <c r="P77" s="15">
        <f t="shared" si="9"/>
        <v>0</v>
      </c>
      <c r="Q77" s="9"/>
      <c r="R77" s="39"/>
      <c r="S77" s="1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E77" s="9"/>
      <c r="AF77" s="10"/>
      <c r="AG77" s="11"/>
      <c r="AH77" s="11"/>
      <c r="AI77" s="11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U77" s="9"/>
      <c r="AV77" s="10"/>
      <c r="AW77" s="11"/>
      <c r="AX77" s="11"/>
      <c r="AY77" s="11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K77" s="9"/>
      <c r="BL77" s="10"/>
      <c r="BM77" s="11"/>
      <c r="BN77" s="11"/>
      <c r="BO77" s="11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CA77" s="9"/>
      <c r="CB77" s="10"/>
      <c r="CC77" s="11"/>
      <c r="CD77" s="11"/>
      <c r="CE77" s="11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Q77" s="9"/>
      <c r="CR77" s="10"/>
      <c r="CS77" s="11"/>
      <c r="CT77" s="11"/>
      <c r="CU77" s="11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G77" s="9"/>
      <c r="DH77" s="10"/>
      <c r="DI77" s="11"/>
      <c r="DJ77" s="11"/>
      <c r="DK77" s="11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W77" s="9"/>
      <c r="DX77" s="10"/>
      <c r="DY77" s="11"/>
      <c r="DZ77" s="11"/>
      <c r="EA77" s="11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M77" s="9"/>
      <c r="EN77" s="10"/>
      <c r="EO77" s="11"/>
      <c r="EP77" s="11"/>
      <c r="EQ77" s="11"/>
      <c r="ER77" s="12">
        <f>SUM(ER66:ER68)</f>
        <v>0</v>
      </c>
      <c r="ES77" s="12">
        <f aca="true" t="shared" si="11" ref="ES77:EZ77">SUM(ES66:ES80)</f>
        <v>332.52</v>
      </c>
      <c r="ET77" s="12">
        <f t="shared" si="11"/>
        <v>111.36</v>
      </c>
      <c r="EU77" s="12">
        <f t="shared" si="11"/>
        <v>0</v>
      </c>
      <c r="EV77" s="12">
        <f t="shared" si="11"/>
        <v>0</v>
      </c>
      <c r="EW77" s="12">
        <f t="shared" si="11"/>
        <v>240.34</v>
      </c>
      <c r="EX77" s="12">
        <f t="shared" si="11"/>
        <v>0</v>
      </c>
      <c r="EY77" s="12">
        <f t="shared" si="11"/>
        <v>90</v>
      </c>
      <c r="EZ77" s="12">
        <f t="shared" si="11"/>
        <v>11.7</v>
      </c>
      <c r="FA77" s="12">
        <f>SUM(FA66:FA68)</f>
        <v>0</v>
      </c>
      <c r="FB77" s="15">
        <f>SUM(ES81:FA81)-ER81</f>
        <v>0</v>
      </c>
      <c r="FC77" s="9" t="s">
        <v>38</v>
      </c>
      <c r="FD77" s="10"/>
      <c r="FE77" s="11"/>
      <c r="FF77" s="11"/>
      <c r="FG77" s="11" t="s">
        <v>22</v>
      </c>
      <c r="FH77" s="12">
        <f>SUM(FH66:FH68)</f>
        <v>0</v>
      </c>
      <c r="FI77" s="12">
        <f aca="true" t="shared" si="12" ref="FI77:FP77">SUM(FI66:FI80)</f>
        <v>332.52</v>
      </c>
      <c r="FJ77" s="12">
        <f t="shared" si="12"/>
        <v>111.36</v>
      </c>
      <c r="FK77" s="12">
        <f t="shared" si="12"/>
        <v>0</v>
      </c>
      <c r="FL77" s="12">
        <f t="shared" si="12"/>
        <v>0</v>
      </c>
      <c r="FM77" s="12">
        <f t="shared" si="12"/>
        <v>240.34</v>
      </c>
      <c r="FN77" s="12">
        <f t="shared" si="12"/>
        <v>0</v>
      </c>
      <c r="FO77" s="12">
        <f t="shared" si="12"/>
        <v>90</v>
      </c>
      <c r="FP77" s="12">
        <f t="shared" si="12"/>
        <v>11.7</v>
      </c>
      <c r="FQ77" s="12">
        <f>SUM(FQ66:FQ68)</f>
        <v>0</v>
      </c>
      <c r="FR77" s="15">
        <f>SUM(FI81:FQ81)-FH81</f>
        <v>0</v>
      </c>
      <c r="FS77" s="9" t="s">
        <v>38</v>
      </c>
      <c r="FT77" s="10"/>
      <c r="FU77" s="11"/>
      <c r="FV77" s="11"/>
      <c r="FW77" s="11" t="s">
        <v>22</v>
      </c>
      <c r="FX77" s="12">
        <f>SUM(FX66:FX68)</f>
        <v>0</v>
      </c>
      <c r="FY77" s="12">
        <f aca="true" t="shared" si="13" ref="FY77:GF77">SUM(FY66:FY80)</f>
        <v>332.52</v>
      </c>
      <c r="FZ77" s="12">
        <f t="shared" si="13"/>
        <v>111.36</v>
      </c>
      <c r="GA77" s="12">
        <f t="shared" si="13"/>
        <v>0</v>
      </c>
      <c r="GB77" s="12">
        <f t="shared" si="13"/>
        <v>0</v>
      </c>
      <c r="GC77" s="12">
        <f t="shared" si="13"/>
        <v>240.34</v>
      </c>
      <c r="GD77" s="12">
        <f t="shared" si="13"/>
        <v>0</v>
      </c>
      <c r="GE77" s="12">
        <f t="shared" si="13"/>
        <v>90</v>
      </c>
      <c r="GF77" s="12">
        <f t="shared" si="13"/>
        <v>11.7</v>
      </c>
      <c r="GG77" s="12">
        <f>SUM(GG66:GG68)</f>
        <v>0</v>
      </c>
      <c r="GH77" s="15">
        <f>SUM(FY81:GG81)-FX81</f>
        <v>0</v>
      </c>
      <c r="GI77" s="9" t="s">
        <v>38</v>
      </c>
      <c r="GJ77" s="10"/>
      <c r="GK77" s="11"/>
      <c r="GL77" s="11"/>
      <c r="GM77" s="11" t="s">
        <v>22</v>
      </c>
      <c r="GN77" s="12">
        <f>SUM(GN66:GN68)</f>
        <v>0</v>
      </c>
      <c r="GO77" s="12">
        <f aca="true" t="shared" si="14" ref="GO77:GV77">SUM(GO66:GO80)</f>
        <v>332.52</v>
      </c>
      <c r="GP77" s="12">
        <f t="shared" si="14"/>
        <v>111.36</v>
      </c>
      <c r="GQ77" s="12">
        <f t="shared" si="14"/>
        <v>0</v>
      </c>
      <c r="GR77" s="12">
        <f t="shared" si="14"/>
        <v>0</v>
      </c>
      <c r="GS77" s="12">
        <f t="shared" si="14"/>
        <v>240.34</v>
      </c>
      <c r="GT77" s="12">
        <f t="shared" si="14"/>
        <v>0</v>
      </c>
      <c r="GU77" s="12">
        <f t="shared" si="14"/>
        <v>90</v>
      </c>
      <c r="GV77" s="12">
        <f t="shared" si="14"/>
        <v>11.7</v>
      </c>
      <c r="GW77" s="12">
        <f>SUM(GW66:GW68)</f>
        <v>0</v>
      </c>
      <c r="GX77" s="15">
        <f>SUM(GO81:GW81)-GN81</f>
        <v>0</v>
      </c>
      <c r="GY77" s="9" t="s">
        <v>38</v>
      </c>
      <c r="GZ77" s="10"/>
      <c r="HA77" s="11"/>
      <c r="HB77" s="11"/>
      <c r="HC77" s="11" t="s">
        <v>22</v>
      </c>
      <c r="HD77" s="12">
        <f>SUM(HD66:HD68)</f>
        <v>0</v>
      </c>
      <c r="HE77" s="12">
        <f aca="true" t="shared" si="15" ref="HE77:HL77">SUM(HE66:HE80)</f>
        <v>332.52</v>
      </c>
      <c r="HF77" s="12">
        <f t="shared" si="15"/>
        <v>111.36</v>
      </c>
      <c r="HG77" s="12">
        <f t="shared" si="15"/>
        <v>0</v>
      </c>
      <c r="HH77" s="12">
        <f t="shared" si="15"/>
        <v>0</v>
      </c>
      <c r="HI77" s="12">
        <f t="shared" si="15"/>
        <v>240.34</v>
      </c>
      <c r="HJ77" s="12">
        <f t="shared" si="15"/>
        <v>0</v>
      </c>
      <c r="HK77" s="12">
        <f t="shared" si="15"/>
        <v>90</v>
      </c>
      <c r="HL77" s="12">
        <f t="shared" si="15"/>
        <v>11.7</v>
      </c>
      <c r="HM77" s="12">
        <f>SUM(HM66:HM68)</f>
        <v>0</v>
      </c>
      <c r="HN77" s="15">
        <f>SUM(HE81:HM81)-HD81</f>
        <v>0</v>
      </c>
      <c r="HO77" s="9" t="s">
        <v>38</v>
      </c>
      <c r="HP77" s="10"/>
      <c r="HQ77" s="11"/>
      <c r="HR77" s="11"/>
      <c r="HS77" s="11" t="s">
        <v>22</v>
      </c>
      <c r="HT77" s="12">
        <f>SUM(HT66:HT68)</f>
        <v>0</v>
      </c>
      <c r="HU77" s="12">
        <f aca="true" t="shared" si="16" ref="HU77:IB77">SUM(HU66:HU80)</f>
        <v>332.52</v>
      </c>
      <c r="HV77" s="12">
        <f t="shared" si="16"/>
        <v>111.36</v>
      </c>
      <c r="HW77" s="12">
        <f t="shared" si="16"/>
        <v>0</v>
      </c>
      <c r="HX77" s="12">
        <f t="shared" si="16"/>
        <v>0</v>
      </c>
      <c r="HY77" s="12">
        <f t="shared" si="16"/>
        <v>240.34</v>
      </c>
      <c r="HZ77" s="12">
        <f t="shared" si="16"/>
        <v>0</v>
      </c>
      <c r="IA77" s="12">
        <f t="shared" si="16"/>
        <v>90</v>
      </c>
      <c r="IB77" s="12">
        <f t="shared" si="16"/>
        <v>11.7</v>
      </c>
      <c r="IC77" s="12">
        <f>SUM(IC66:IC68)</f>
        <v>0</v>
      </c>
      <c r="ID77" s="15">
        <f>SUM(HU81:IC81)-HT81</f>
        <v>0</v>
      </c>
      <c r="IE77" s="9" t="s">
        <v>38</v>
      </c>
      <c r="IF77" s="10"/>
      <c r="IG77" s="11"/>
      <c r="IH77" s="11"/>
      <c r="II77" s="11" t="s">
        <v>22</v>
      </c>
      <c r="IJ77" s="12">
        <f>SUM(IJ66:IJ68)</f>
        <v>0</v>
      </c>
      <c r="IK77" s="12">
        <f aca="true" t="shared" si="17" ref="IK77:IR77">SUM(IK66:IK80)</f>
        <v>332.52</v>
      </c>
      <c r="IL77" s="12">
        <f t="shared" si="17"/>
        <v>111.36</v>
      </c>
      <c r="IM77" s="12">
        <f t="shared" si="17"/>
        <v>0</v>
      </c>
      <c r="IN77" s="12">
        <f t="shared" si="17"/>
        <v>0</v>
      </c>
      <c r="IO77" s="12">
        <f t="shared" si="17"/>
        <v>240.34</v>
      </c>
      <c r="IP77" s="12">
        <f t="shared" si="17"/>
        <v>0</v>
      </c>
      <c r="IQ77" s="12">
        <f t="shared" si="17"/>
        <v>90</v>
      </c>
      <c r="IR77" s="12">
        <f t="shared" si="17"/>
        <v>11.7</v>
      </c>
      <c r="IS77" s="12">
        <f>SUM(IS66:IS68)</f>
        <v>0</v>
      </c>
      <c r="IT77" s="15">
        <f>SUM(IK81:IS81)-IJ81</f>
        <v>0</v>
      </c>
    </row>
    <row r="78" spans="1:253" ht="15">
      <c r="A78" s="9"/>
      <c r="B78" s="10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5">
        <f t="shared" si="9"/>
        <v>0</v>
      </c>
      <c r="Q78" s="9"/>
      <c r="R78" s="39"/>
      <c r="S78" s="1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E78" s="9"/>
      <c r="AF78" s="10"/>
      <c r="AG78" s="11"/>
      <c r="AH78" s="11"/>
      <c r="AI78" s="11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U78" s="9"/>
      <c r="AV78" s="10"/>
      <c r="AW78" s="11"/>
      <c r="AX78" s="11"/>
      <c r="AY78" s="11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K78" s="9"/>
      <c r="BL78" s="10"/>
      <c r="BM78" s="11"/>
      <c r="BN78" s="11"/>
      <c r="BO78" s="11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CA78" s="9"/>
      <c r="CB78" s="10"/>
      <c r="CC78" s="11"/>
      <c r="CD78" s="11"/>
      <c r="CE78" s="11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Q78" s="9"/>
      <c r="CR78" s="10"/>
      <c r="CS78" s="11"/>
      <c r="CT78" s="11"/>
      <c r="CU78" s="11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G78" s="9"/>
      <c r="DH78" s="10"/>
      <c r="DI78" s="11"/>
      <c r="DJ78" s="11"/>
      <c r="DK78" s="11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W78" s="9"/>
      <c r="DX78" s="10"/>
      <c r="DY78" s="11"/>
      <c r="DZ78" s="11"/>
      <c r="EA78" s="11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M78" s="9"/>
      <c r="EN78" s="10"/>
      <c r="EO78" s="11"/>
      <c r="EP78" s="11"/>
      <c r="EQ78" s="11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C78" s="9"/>
      <c r="FD78" s="10"/>
      <c r="FE78" s="11"/>
      <c r="FF78" s="11"/>
      <c r="FG78" s="11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S78" s="9"/>
      <c r="FT78" s="10"/>
      <c r="FU78" s="11"/>
      <c r="FV78" s="11"/>
      <c r="FW78" s="11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I78" s="9"/>
      <c r="GJ78" s="10"/>
      <c r="GK78" s="11"/>
      <c r="GL78" s="11"/>
      <c r="GM78" s="11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Y78" s="9"/>
      <c r="GZ78" s="10"/>
      <c r="HA78" s="11"/>
      <c r="HB78" s="11"/>
      <c r="HC78" s="11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O78" s="9"/>
      <c r="HP78" s="10"/>
      <c r="HQ78" s="11"/>
      <c r="HR78" s="11"/>
      <c r="HS78" s="11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E78" s="9"/>
      <c r="IF78" s="10"/>
      <c r="IG78" s="11"/>
      <c r="IH78" s="11"/>
      <c r="II78" s="11"/>
      <c r="IJ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2:18" ht="15">
      <c r="B79" s="14" t="s">
        <v>126</v>
      </c>
      <c r="C79" s="15" t="s">
        <v>16</v>
      </c>
      <c r="D79" s="15" t="s">
        <v>127</v>
      </c>
      <c r="E79" s="15" t="s">
        <v>111</v>
      </c>
      <c r="F79" s="16">
        <v>68.46</v>
      </c>
      <c r="G79" s="16">
        <v>68.46</v>
      </c>
      <c r="P79" s="15">
        <f t="shared" si="9"/>
        <v>0</v>
      </c>
      <c r="R79" s="39"/>
    </row>
    <row r="80" spans="1:18" ht="15">
      <c r="A80" s="13" t="s">
        <v>128</v>
      </c>
      <c r="B80" s="20">
        <v>704</v>
      </c>
      <c r="C80" s="15" t="s">
        <v>16</v>
      </c>
      <c r="D80" s="15" t="s">
        <v>129</v>
      </c>
      <c r="F80" s="16">
        <v>481.12</v>
      </c>
      <c r="G80" s="16">
        <f>489-G81-19.56</f>
        <v>430.04</v>
      </c>
      <c r="H80" s="16">
        <v>51.08</v>
      </c>
      <c r="P80" s="15">
        <f t="shared" si="9"/>
        <v>0</v>
      </c>
      <c r="R80" s="39"/>
    </row>
    <row r="81" spans="1:20" ht="15">
      <c r="A81" s="13" t="s">
        <v>128</v>
      </c>
      <c r="B81" s="20">
        <v>705</v>
      </c>
      <c r="C81" s="15" t="s">
        <v>16</v>
      </c>
      <c r="D81" s="15" t="s">
        <v>84</v>
      </c>
      <c r="E81" s="15" t="s">
        <v>130</v>
      </c>
      <c r="F81" s="16">
        <v>39.4</v>
      </c>
      <c r="G81" s="16">
        <v>39.4</v>
      </c>
      <c r="P81" s="15">
        <f t="shared" si="9"/>
        <v>0</v>
      </c>
      <c r="R81" s="39"/>
      <c r="T81" s="47"/>
    </row>
    <row r="82" spans="1:20" ht="15">
      <c r="A82" s="13" t="s">
        <v>128</v>
      </c>
      <c r="B82" s="20">
        <v>706</v>
      </c>
      <c r="C82" s="15" t="s">
        <v>16</v>
      </c>
      <c r="D82" s="15" t="s">
        <v>131</v>
      </c>
      <c r="E82" s="15" t="s">
        <v>52</v>
      </c>
      <c r="F82" s="16">
        <v>500</v>
      </c>
      <c r="J82" s="16">
        <v>500</v>
      </c>
      <c r="P82" s="15">
        <f t="shared" si="9"/>
        <v>0</v>
      </c>
      <c r="R82" s="39"/>
      <c r="T82" s="39"/>
    </row>
    <row r="83" spans="1:20" ht="15">
      <c r="A83" s="13" t="s">
        <v>128</v>
      </c>
      <c r="B83" s="20">
        <v>707</v>
      </c>
      <c r="C83" s="15" t="s">
        <v>16</v>
      </c>
      <c r="D83" s="15" t="s">
        <v>132</v>
      </c>
      <c r="E83" s="15" t="s">
        <v>52</v>
      </c>
      <c r="F83" s="16">
        <v>94.41</v>
      </c>
      <c r="J83" s="16">
        <v>94.41</v>
      </c>
      <c r="P83" s="15">
        <f t="shared" si="9"/>
        <v>0</v>
      </c>
      <c r="R83" s="39"/>
      <c r="T83" s="39"/>
    </row>
    <row r="84" spans="1:20" ht="15">
      <c r="A84" s="13" t="s">
        <v>128</v>
      </c>
      <c r="B84" s="20">
        <v>708</v>
      </c>
      <c r="C84" s="15" t="s">
        <v>16</v>
      </c>
      <c r="D84" s="15" t="s">
        <v>133</v>
      </c>
      <c r="E84" s="15" t="s">
        <v>134</v>
      </c>
      <c r="F84" s="16">
        <v>390</v>
      </c>
      <c r="K84" s="16">
        <v>65</v>
      </c>
      <c r="O84" s="16">
        <v>325</v>
      </c>
      <c r="P84" s="15">
        <f t="shared" si="9"/>
        <v>0</v>
      </c>
      <c r="R84" s="39"/>
      <c r="T84" s="39"/>
    </row>
    <row r="85" spans="16:20" ht="15">
      <c r="P85" s="15">
        <f t="shared" si="9"/>
        <v>0</v>
      </c>
      <c r="R85" s="39"/>
      <c r="T85" s="39"/>
    </row>
    <row r="86" spans="16:20" ht="15">
      <c r="P86" s="15">
        <f t="shared" si="9"/>
        <v>0</v>
      </c>
      <c r="R86" s="39"/>
      <c r="T86" s="39"/>
    </row>
    <row r="87" spans="1:20" s="11" customFormat="1" ht="15">
      <c r="A87" s="9" t="s">
        <v>24</v>
      </c>
      <c r="B87" s="10"/>
      <c r="E87" s="11" t="s">
        <v>22</v>
      </c>
      <c r="F87" s="12">
        <f>SUM(F78:F86)</f>
        <v>1573.39</v>
      </c>
      <c r="G87" s="12">
        <f>SUM(G78:G86)</f>
        <v>537.9</v>
      </c>
      <c r="H87" s="12">
        <f aca="true" t="shared" si="18" ref="H87:O87">SUM(H78:H86)</f>
        <v>51.08</v>
      </c>
      <c r="I87" s="12">
        <f t="shared" si="18"/>
        <v>0</v>
      </c>
      <c r="J87" s="12">
        <f t="shared" si="18"/>
        <v>594.41</v>
      </c>
      <c r="K87" s="12">
        <f t="shared" si="18"/>
        <v>65</v>
      </c>
      <c r="L87" s="12">
        <f t="shared" si="18"/>
        <v>0</v>
      </c>
      <c r="M87" s="12">
        <f t="shared" si="18"/>
        <v>0</v>
      </c>
      <c r="N87" s="12">
        <f t="shared" si="18"/>
        <v>0</v>
      </c>
      <c r="O87" s="12">
        <f t="shared" si="18"/>
        <v>325</v>
      </c>
      <c r="P87" s="15">
        <f t="shared" si="9"/>
        <v>0</v>
      </c>
      <c r="T87" s="39"/>
    </row>
    <row r="88" spans="1:16" ht="12.75">
      <c r="A88" s="15"/>
      <c r="B88" s="14" t="s">
        <v>126</v>
      </c>
      <c r="D88" s="15" t="s">
        <v>69</v>
      </c>
      <c r="E88" s="15" t="s">
        <v>82</v>
      </c>
      <c r="F88" s="16">
        <v>68.46</v>
      </c>
      <c r="G88" s="16">
        <v>68.46</v>
      </c>
      <c r="P88" s="15">
        <f t="shared" si="9"/>
        <v>0</v>
      </c>
    </row>
    <row r="89" spans="1:16" ht="12.75">
      <c r="A89" s="13" t="s">
        <v>136</v>
      </c>
      <c r="B89" s="20">
        <v>709</v>
      </c>
      <c r="D89" s="15" t="s">
        <v>138</v>
      </c>
      <c r="P89" s="15">
        <f t="shared" si="9"/>
        <v>0</v>
      </c>
    </row>
    <row r="90" spans="1:16" ht="12.75">
      <c r="A90" s="13" t="s">
        <v>136</v>
      </c>
      <c r="B90" s="20">
        <v>710</v>
      </c>
      <c r="C90" s="15" t="s">
        <v>16</v>
      </c>
      <c r="D90" s="15" t="s">
        <v>137</v>
      </c>
      <c r="F90" s="16">
        <v>513.37</v>
      </c>
      <c r="G90" s="16">
        <f>489-39.2-19.56</f>
        <v>430.24</v>
      </c>
      <c r="H90" s="16">
        <v>83.13</v>
      </c>
      <c r="P90" s="15">
        <f t="shared" si="9"/>
        <v>0</v>
      </c>
    </row>
    <row r="91" spans="1:16" ht="12.75">
      <c r="A91" s="13" t="s">
        <v>136</v>
      </c>
      <c r="B91" s="20">
        <v>711</v>
      </c>
      <c r="C91" s="15" t="s">
        <v>16</v>
      </c>
      <c r="D91" s="15" t="s">
        <v>139</v>
      </c>
      <c r="E91" s="15" t="s">
        <v>140</v>
      </c>
      <c r="F91" s="16">
        <v>39.2</v>
      </c>
      <c r="G91" s="16">
        <v>39.2</v>
      </c>
      <c r="P91" s="15">
        <f t="shared" si="9"/>
        <v>0</v>
      </c>
    </row>
    <row r="92" spans="1:16" ht="19.5" customHeight="1">
      <c r="A92" s="13" t="s">
        <v>136</v>
      </c>
      <c r="B92" s="20">
        <v>712</v>
      </c>
      <c r="C92" s="15" t="s">
        <v>16</v>
      </c>
      <c r="D92" s="15" t="s">
        <v>141</v>
      </c>
      <c r="E92" s="15" t="s">
        <v>142</v>
      </c>
      <c r="F92" s="16">
        <v>456</v>
      </c>
      <c r="K92" s="16">
        <v>76</v>
      </c>
      <c r="M92" s="16">
        <v>380</v>
      </c>
      <c r="P92" s="15">
        <f t="shared" si="9"/>
        <v>0</v>
      </c>
    </row>
    <row r="93" spans="1:16" ht="12.75">
      <c r="A93" s="13" t="s">
        <v>136</v>
      </c>
      <c r="B93" s="20">
        <v>713</v>
      </c>
      <c r="C93" s="15" t="s">
        <v>16</v>
      </c>
      <c r="D93" s="15" t="s">
        <v>94</v>
      </c>
      <c r="E93" s="15" t="s">
        <v>143</v>
      </c>
      <c r="F93" s="16">
        <v>69.6</v>
      </c>
      <c r="K93" s="16">
        <v>11.6</v>
      </c>
      <c r="O93" s="16">
        <v>58</v>
      </c>
      <c r="P93" s="15">
        <f t="shared" si="9"/>
        <v>0</v>
      </c>
    </row>
    <row r="94" spans="1:20" s="11" customFormat="1" ht="15">
      <c r="A94" s="9" t="s">
        <v>145</v>
      </c>
      <c r="B94" s="10"/>
      <c r="E94" s="11" t="s">
        <v>22</v>
      </c>
      <c r="F94" s="12">
        <f>SUM(F85:F93)</f>
        <v>2720.02</v>
      </c>
      <c r="G94" s="12">
        <f>SUM(G85:G93)</f>
        <v>1075.8</v>
      </c>
      <c r="H94" s="12">
        <f aca="true" t="shared" si="19" ref="H94:O94">SUM(H85:H93)</f>
        <v>134.20999999999998</v>
      </c>
      <c r="I94" s="12">
        <f t="shared" si="19"/>
        <v>0</v>
      </c>
      <c r="J94" s="12">
        <f t="shared" si="19"/>
        <v>594.41</v>
      </c>
      <c r="K94" s="12">
        <f t="shared" si="19"/>
        <v>152.6</v>
      </c>
      <c r="L94" s="12">
        <f t="shared" si="19"/>
        <v>0</v>
      </c>
      <c r="M94" s="12">
        <f t="shared" si="19"/>
        <v>380</v>
      </c>
      <c r="N94" s="12">
        <f t="shared" si="19"/>
        <v>0</v>
      </c>
      <c r="O94" s="12">
        <f t="shared" si="19"/>
        <v>383</v>
      </c>
      <c r="P94" s="15">
        <f t="shared" si="9"/>
        <v>0</v>
      </c>
      <c r="T94" s="39"/>
    </row>
    <row r="95" spans="1:16" ht="12.75">
      <c r="A95" s="15"/>
      <c r="B95" s="14" t="s">
        <v>126</v>
      </c>
      <c r="C95" s="15" t="s">
        <v>16</v>
      </c>
      <c r="D95" s="15" t="s">
        <v>69</v>
      </c>
      <c r="E95" s="15" t="s">
        <v>82</v>
      </c>
      <c r="F95" s="16">
        <v>91.01</v>
      </c>
      <c r="G95" s="16">
        <v>91.01</v>
      </c>
      <c r="P95" s="15">
        <f aca="true" t="shared" si="20" ref="P95:P126">SUM(G95:O95)-F95</f>
        <v>0</v>
      </c>
    </row>
    <row r="96" spans="1:16" ht="12.75">
      <c r="A96" s="13" t="s">
        <v>148</v>
      </c>
      <c r="B96" s="14" t="s">
        <v>149</v>
      </c>
      <c r="C96" s="15" t="s">
        <v>16</v>
      </c>
      <c r="D96" s="15" t="s">
        <v>65</v>
      </c>
      <c r="E96" s="15" t="s">
        <v>36</v>
      </c>
      <c r="F96" s="16">
        <v>28.8</v>
      </c>
      <c r="K96" s="16">
        <v>4.8</v>
      </c>
      <c r="M96" s="16">
        <v>24</v>
      </c>
      <c r="P96" s="15">
        <f t="shared" si="20"/>
        <v>0</v>
      </c>
    </row>
    <row r="97" spans="1:16" ht="12.75">
      <c r="A97" s="13" t="s">
        <v>148</v>
      </c>
      <c r="B97" s="20">
        <v>714</v>
      </c>
      <c r="C97" s="15" t="s">
        <v>16</v>
      </c>
      <c r="D97" s="15" t="s">
        <v>150</v>
      </c>
      <c r="E97" s="15" t="s">
        <v>151</v>
      </c>
      <c r="F97" s="16">
        <v>250</v>
      </c>
      <c r="J97" s="16">
        <v>250</v>
      </c>
      <c r="P97" s="15">
        <f t="shared" si="20"/>
        <v>0</v>
      </c>
    </row>
    <row r="98" spans="1:16" ht="12.75">
      <c r="A98" s="13" t="s">
        <v>148</v>
      </c>
      <c r="B98" s="20">
        <v>715</v>
      </c>
      <c r="C98" s="15" t="s">
        <v>16</v>
      </c>
      <c r="D98" s="15" t="s">
        <v>153</v>
      </c>
      <c r="E98" s="15" t="s">
        <v>151</v>
      </c>
      <c r="F98" s="16">
        <v>200</v>
      </c>
      <c r="J98" s="16">
        <v>200</v>
      </c>
      <c r="P98" s="15">
        <f t="shared" si="20"/>
        <v>0</v>
      </c>
    </row>
    <row r="99" spans="1:16" ht="19.5" customHeight="1">
      <c r="A99" s="13" t="s">
        <v>148</v>
      </c>
      <c r="B99" s="20">
        <v>716</v>
      </c>
      <c r="C99" s="15" t="s">
        <v>16</v>
      </c>
      <c r="D99" s="15" t="s">
        <v>27</v>
      </c>
      <c r="E99" s="15" t="s">
        <v>43</v>
      </c>
      <c r="F99" s="16">
        <v>467.57</v>
      </c>
      <c r="G99" s="16">
        <f>505.57-42.8-40.45</f>
        <v>422.32</v>
      </c>
      <c r="H99" s="16">
        <v>45</v>
      </c>
      <c r="K99" s="16">
        <v>0.25</v>
      </c>
      <c r="P99" s="15">
        <f t="shared" si="20"/>
        <v>0</v>
      </c>
    </row>
    <row r="100" spans="1:16" ht="12.75">
      <c r="A100" s="13" t="s">
        <v>148</v>
      </c>
      <c r="B100" s="20">
        <v>717</v>
      </c>
      <c r="C100" s="15" t="s">
        <v>16</v>
      </c>
      <c r="D100" s="15" t="s">
        <v>84</v>
      </c>
      <c r="E100" s="15" t="s">
        <v>130</v>
      </c>
      <c r="F100" s="16">
        <v>42.8</v>
      </c>
      <c r="G100" s="16">
        <v>42.8</v>
      </c>
      <c r="P100" s="15">
        <f t="shared" si="20"/>
        <v>0</v>
      </c>
    </row>
    <row r="101" ht="12.75">
      <c r="P101" s="15">
        <f t="shared" si="20"/>
        <v>0</v>
      </c>
    </row>
    <row r="102" spans="1:20" s="11" customFormat="1" ht="15">
      <c r="A102" s="9" t="s">
        <v>146</v>
      </c>
      <c r="B102" s="10"/>
      <c r="E102" s="11" t="s">
        <v>22</v>
      </c>
      <c r="F102" s="12">
        <f>SUM(F95:F101)</f>
        <v>1080.1799999999998</v>
      </c>
      <c r="G102" s="12">
        <f aca="true" t="shared" si="21" ref="G102:O102">SUM(G95:G101)</f>
        <v>556.13</v>
      </c>
      <c r="H102" s="12">
        <f t="shared" si="21"/>
        <v>45</v>
      </c>
      <c r="I102" s="12">
        <f t="shared" si="21"/>
        <v>0</v>
      </c>
      <c r="J102" s="12">
        <f t="shared" si="21"/>
        <v>450</v>
      </c>
      <c r="K102" s="12">
        <f t="shared" si="21"/>
        <v>5.05</v>
      </c>
      <c r="L102" s="12">
        <f t="shared" si="21"/>
        <v>0</v>
      </c>
      <c r="M102" s="12">
        <f t="shared" si="21"/>
        <v>24</v>
      </c>
      <c r="N102" s="12">
        <f t="shared" si="21"/>
        <v>0</v>
      </c>
      <c r="O102" s="12">
        <f t="shared" si="21"/>
        <v>0</v>
      </c>
      <c r="P102" s="15">
        <f t="shared" si="20"/>
        <v>0</v>
      </c>
      <c r="T102" s="39"/>
    </row>
    <row r="103" spans="1:16" ht="12.75">
      <c r="A103" s="15"/>
      <c r="B103" s="14" t="s">
        <v>126</v>
      </c>
      <c r="C103" s="15" t="s">
        <v>16</v>
      </c>
      <c r="D103" s="15" t="s">
        <v>69</v>
      </c>
      <c r="E103" s="15" t="s">
        <v>82</v>
      </c>
      <c r="F103" s="16">
        <v>88.02</v>
      </c>
      <c r="G103" s="16">
        <v>88.02</v>
      </c>
      <c r="P103" s="15">
        <f t="shared" si="20"/>
        <v>0</v>
      </c>
    </row>
    <row r="104" spans="1:16" ht="12.75">
      <c r="A104" s="13" t="s">
        <v>154</v>
      </c>
      <c r="B104" s="14" t="s">
        <v>103</v>
      </c>
      <c r="C104" s="15" t="s">
        <v>16</v>
      </c>
      <c r="D104" s="15" t="s">
        <v>65</v>
      </c>
      <c r="E104" s="15" t="s">
        <v>36</v>
      </c>
      <c r="F104" s="16">
        <v>15.84</v>
      </c>
      <c r="K104" s="16">
        <v>2.64</v>
      </c>
      <c r="N104" s="16">
        <v>13.2</v>
      </c>
      <c r="P104" s="15">
        <f t="shared" si="20"/>
        <v>0</v>
      </c>
    </row>
    <row r="105" spans="1:16" ht="12.75">
      <c r="A105" s="13" t="s">
        <v>154</v>
      </c>
      <c r="B105" s="20">
        <v>718</v>
      </c>
      <c r="C105" s="15" t="s">
        <v>16</v>
      </c>
      <c r="D105" s="15" t="s">
        <v>155</v>
      </c>
      <c r="E105" s="15" t="s">
        <v>156</v>
      </c>
      <c r="F105" s="16">
        <v>66</v>
      </c>
      <c r="I105" s="16">
        <v>55</v>
      </c>
      <c r="K105" s="16">
        <v>11</v>
      </c>
      <c r="P105" s="15">
        <f t="shared" si="20"/>
        <v>0</v>
      </c>
    </row>
    <row r="106" spans="1:16" ht="12.75">
      <c r="A106" s="13" t="s">
        <v>154</v>
      </c>
      <c r="B106" s="20">
        <v>719</v>
      </c>
      <c r="C106" s="15" t="s">
        <v>16</v>
      </c>
      <c r="D106" s="15" t="s">
        <v>129</v>
      </c>
      <c r="F106" s="16">
        <v>455.93</v>
      </c>
      <c r="G106" s="16">
        <f>489-39.2-39.12</f>
        <v>410.68</v>
      </c>
      <c r="H106" s="16">
        <v>45</v>
      </c>
      <c r="K106" s="16">
        <v>0.25</v>
      </c>
      <c r="P106" s="15">
        <f t="shared" si="20"/>
        <v>0</v>
      </c>
    </row>
    <row r="107" spans="1:16" ht="19.5" customHeight="1">
      <c r="A107" s="13" t="s">
        <v>154</v>
      </c>
      <c r="B107" s="20">
        <v>720</v>
      </c>
      <c r="C107" s="15" t="s">
        <v>16</v>
      </c>
      <c r="D107" s="15" t="s">
        <v>84</v>
      </c>
      <c r="E107" s="15" t="s">
        <v>85</v>
      </c>
      <c r="F107" s="16">
        <v>39.2</v>
      </c>
      <c r="G107" s="16">
        <v>39.2</v>
      </c>
      <c r="P107" s="15">
        <f t="shared" si="20"/>
        <v>0</v>
      </c>
    </row>
    <row r="108" spans="1:16" ht="19.5" customHeight="1">
      <c r="A108" s="13" t="s">
        <v>154</v>
      </c>
      <c r="B108" s="20">
        <v>721</v>
      </c>
      <c r="C108" s="15" t="s">
        <v>16</v>
      </c>
      <c r="D108" s="15" t="s">
        <v>157</v>
      </c>
      <c r="E108" s="15" t="s">
        <v>158</v>
      </c>
      <c r="F108" s="16">
        <v>148.8</v>
      </c>
      <c r="K108" s="16">
        <v>24.8</v>
      </c>
      <c r="M108" s="16">
        <v>124</v>
      </c>
      <c r="P108" s="15">
        <f t="shared" si="20"/>
        <v>0</v>
      </c>
    </row>
    <row r="109" spans="1:16" ht="19.5" customHeight="1">
      <c r="A109" s="13" t="s">
        <v>154</v>
      </c>
      <c r="B109" s="20">
        <v>722</v>
      </c>
      <c r="C109" s="15" t="s">
        <v>16</v>
      </c>
      <c r="D109" s="15" t="s">
        <v>159</v>
      </c>
      <c r="E109" s="15" t="s">
        <v>160</v>
      </c>
      <c r="F109" s="16">
        <v>222</v>
      </c>
      <c r="P109" s="15">
        <f t="shared" si="20"/>
        <v>-222</v>
      </c>
    </row>
    <row r="110" ht="12.75">
      <c r="P110" s="15">
        <f t="shared" si="20"/>
        <v>0</v>
      </c>
    </row>
    <row r="111" spans="1:20" s="11" customFormat="1" ht="15">
      <c r="A111" s="9" t="s">
        <v>147</v>
      </c>
      <c r="B111" s="10"/>
      <c r="E111" s="11" t="s">
        <v>22</v>
      </c>
      <c r="F111" s="12">
        <f>SUM(F103:F110)</f>
        <v>1035.79</v>
      </c>
      <c r="G111" s="12">
        <f aca="true" t="shared" si="22" ref="G111:P111">SUM(G103:G110)</f>
        <v>537.9</v>
      </c>
      <c r="H111" s="12">
        <f t="shared" si="22"/>
        <v>45</v>
      </c>
      <c r="I111" s="12">
        <f t="shared" si="22"/>
        <v>55</v>
      </c>
      <c r="J111" s="12">
        <f t="shared" si="22"/>
        <v>0</v>
      </c>
      <c r="K111" s="12">
        <f t="shared" si="22"/>
        <v>38.69</v>
      </c>
      <c r="L111" s="12">
        <f t="shared" si="22"/>
        <v>0</v>
      </c>
      <c r="M111" s="12">
        <f t="shared" si="22"/>
        <v>124</v>
      </c>
      <c r="N111" s="12">
        <f t="shared" si="22"/>
        <v>13.2</v>
      </c>
      <c r="O111" s="12">
        <f t="shared" si="22"/>
        <v>0</v>
      </c>
      <c r="P111" s="12">
        <f t="shared" si="22"/>
        <v>-222</v>
      </c>
      <c r="T111" s="39"/>
    </row>
    <row r="112" spans="1:20" s="11" customFormat="1" ht="15">
      <c r="A112" s="9"/>
      <c r="B112" s="10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T112" s="39"/>
    </row>
    <row r="113" spans="1:20" ht="15">
      <c r="A113" s="13" t="s">
        <v>165</v>
      </c>
      <c r="B113" s="14" t="s">
        <v>103</v>
      </c>
      <c r="C113" s="15" t="s">
        <v>16</v>
      </c>
      <c r="D113" s="15" t="s">
        <v>65</v>
      </c>
      <c r="E113" s="15" t="s">
        <v>83</v>
      </c>
      <c r="F113" s="16">
        <v>9</v>
      </c>
      <c r="K113" s="16">
        <v>1.5</v>
      </c>
      <c r="N113" s="16">
        <v>7.5</v>
      </c>
      <c r="P113" s="15">
        <f t="shared" si="20"/>
        <v>0</v>
      </c>
      <c r="T113" s="39"/>
    </row>
    <row r="114" spans="1:18" ht="12.75">
      <c r="A114" s="15" t="s">
        <v>174</v>
      </c>
      <c r="B114" s="14" t="s">
        <v>103</v>
      </c>
      <c r="C114" s="15" t="s">
        <v>16</v>
      </c>
      <c r="D114" s="15" t="s">
        <v>69</v>
      </c>
      <c r="E114" s="15" t="s">
        <v>82</v>
      </c>
      <c r="F114" s="16">
        <v>79.5</v>
      </c>
      <c r="G114" s="16">
        <v>79.5</v>
      </c>
      <c r="P114" s="15">
        <f t="shared" si="20"/>
        <v>0</v>
      </c>
      <c r="R114" s="15" t="s">
        <v>175</v>
      </c>
    </row>
    <row r="115" spans="1:16" ht="12.75">
      <c r="A115" s="13" t="s">
        <v>165</v>
      </c>
      <c r="B115" s="20">
        <v>723</v>
      </c>
      <c r="C115" s="15" t="s">
        <v>16</v>
      </c>
      <c r="D115" s="15" t="s">
        <v>27</v>
      </c>
      <c r="E115" s="15" t="s">
        <v>43</v>
      </c>
      <c r="F115" s="16">
        <v>421.8</v>
      </c>
      <c r="G115" s="16">
        <f>441.68-29.8-35.33</f>
        <v>376.55</v>
      </c>
      <c r="H115" s="16">
        <v>45.25</v>
      </c>
      <c r="P115" s="15">
        <f t="shared" si="20"/>
        <v>0</v>
      </c>
    </row>
    <row r="116" spans="1:16" ht="12.75">
      <c r="A116" s="13" t="s">
        <v>165</v>
      </c>
      <c r="B116" s="20">
        <v>724</v>
      </c>
      <c r="C116" s="15" t="s">
        <v>16</v>
      </c>
      <c r="D116" s="15" t="s">
        <v>84</v>
      </c>
      <c r="E116" s="15" t="s">
        <v>130</v>
      </c>
      <c r="F116" s="16">
        <v>63.2</v>
      </c>
      <c r="G116" s="16">
        <v>63.2</v>
      </c>
      <c r="P116" s="15">
        <f t="shared" si="20"/>
        <v>0</v>
      </c>
    </row>
    <row r="117" spans="1:16" ht="12.75">
      <c r="A117" s="13" t="s">
        <v>165</v>
      </c>
      <c r="B117" s="14" t="s">
        <v>166</v>
      </c>
      <c r="C117" s="15" t="s">
        <v>16</v>
      </c>
      <c r="D117" s="15" t="s">
        <v>168</v>
      </c>
      <c r="E117" s="15" t="s">
        <v>169</v>
      </c>
      <c r="F117" s="16">
        <v>1779.23</v>
      </c>
      <c r="O117" s="16">
        <v>1779.23</v>
      </c>
      <c r="P117" s="15">
        <f t="shared" si="20"/>
        <v>0</v>
      </c>
    </row>
    <row r="118" spans="1:16" ht="19.5" customHeight="1">
      <c r="A118" s="13" t="s">
        <v>165</v>
      </c>
      <c r="B118" s="14" t="s">
        <v>167</v>
      </c>
      <c r="C118" s="15" t="s">
        <v>16</v>
      </c>
      <c r="D118" s="15" t="s">
        <v>170</v>
      </c>
      <c r="E118" s="15" t="s">
        <v>171</v>
      </c>
      <c r="F118" s="16">
        <v>54</v>
      </c>
      <c r="M118" s="16">
        <v>54</v>
      </c>
      <c r="P118" s="15">
        <f t="shared" si="20"/>
        <v>0</v>
      </c>
    </row>
    <row r="119" ht="12.75">
      <c r="P119" s="15">
        <f t="shared" si="20"/>
        <v>0</v>
      </c>
    </row>
    <row r="120" spans="1:20" s="11" customFormat="1" ht="15">
      <c r="A120" s="9" t="s">
        <v>212</v>
      </c>
      <c r="B120" s="10"/>
      <c r="E120" s="11" t="s">
        <v>22</v>
      </c>
      <c r="F120" s="12">
        <f>SUM(F112:F119)</f>
        <v>2406.73</v>
      </c>
      <c r="G120" s="12">
        <f aca="true" t="shared" si="23" ref="G120:O120">SUM(G112:G119)</f>
        <v>519.25</v>
      </c>
      <c r="H120" s="12">
        <f t="shared" si="23"/>
        <v>45.25</v>
      </c>
      <c r="I120" s="12">
        <f t="shared" si="23"/>
        <v>0</v>
      </c>
      <c r="J120" s="12">
        <f t="shared" si="23"/>
        <v>0</v>
      </c>
      <c r="K120" s="12">
        <f t="shared" si="23"/>
        <v>1.5</v>
      </c>
      <c r="L120" s="12">
        <f t="shared" si="23"/>
        <v>0</v>
      </c>
      <c r="M120" s="12">
        <f t="shared" si="23"/>
        <v>54</v>
      </c>
      <c r="N120" s="12">
        <f t="shared" si="23"/>
        <v>7.5</v>
      </c>
      <c r="O120" s="12">
        <f t="shared" si="23"/>
        <v>1779.23</v>
      </c>
      <c r="P120" s="15">
        <f t="shared" si="20"/>
        <v>0</v>
      </c>
      <c r="T120" s="39"/>
    </row>
    <row r="121" ht="12.75">
      <c r="P121" s="15">
        <f t="shared" si="20"/>
        <v>0</v>
      </c>
    </row>
    <row r="122" spans="1:16" ht="12.75">
      <c r="A122" s="13" t="s">
        <v>215</v>
      </c>
      <c r="B122" s="14" t="s">
        <v>103</v>
      </c>
      <c r="C122" s="15" t="s">
        <v>16</v>
      </c>
      <c r="D122" s="15" t="s">
        <v>65</v>
      </c>
      <c r="E122" s="15" t="s">
        <v>83</v>
      </c>
      <c r="F122" s="16">
        <v>14.4</v>
      </c>
      <c r="K122" s="16">
        <v>2.4</v>
      </c>
      <c r="N122" s="16">
        <f>F122/1.2</f>
        <v>12</v>
      </c>
      <c r="P122" s="15">
        <f t="shared" si="20"/>
        <v>0</v>
      </c>
    </row>
    <row r="123" spans="1:20" s="11" customFormat="1" ht="12.75">
      <c r="A123" s="9" t="s">
        <v>214</v>
      </c>
      <c r="B123" s="10"/>
      <c r="E123" s="11" t="s">
        <v>22</v>
      </c>
      <c r="F123" s="12">
        <f>F122</f>
        <v>14.4</v>
      </c>
      <c r="G123" s="12">
        <f aca="true" t="shared" si="24" ref="G123:O123">G122</f>
        <v>0</v>
      </c>
      <c r="H123" s="12">
        <f t="shared" si="24"/>
        <v>0</v>
      </c>
      <c r="I123" s="12">
        <f t="shared" si="24"/>
        <v>0</v>
      </c>
      <c r="J123" s="12">
        <f t="shared" si="24"/>
        <v>0</v>
      </c>
      <c r="K123" s="12">
        <f t="shared" si="24"/>
        <v>2.4</v>
      </c>
      <c r="L123" s="12">
        <f t="shared" si="24"/>
        <v>0</v>
      </c>
      <c r="M123" s="12">
        <f t="shared" si="24"/>
        <v>0</v>
      </c>
      <c r="N123" s="12">
        <f t="shared" si="24"/>
        <v>12</v>
      </c>
      <c r="O123" s="12">
        <f t="shared" si="24"/>
        <v>0</v>
      </c>
      <c r="P123" s="15">
        <f t="shared" si="20"/>
        <v>0</v>
      </c>
      <c r="T123"/>
    </row>
    <row r="124" spans="1:20" s="11" customFormat="1" ht="15">
      <c r="A124" s="9"/>
      <c r="B124" s="10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5">
        <f t="shared" si="20"/>
        <v>0</v>
      </c>
      <c r="T124" s="39"/>
    </row>
    <row r="125" spans="1:20" s="11" customFormat="1" ht="15">
      <c r="A125" s="9"/>
      <c r="B125" s="10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5">
        <f t="shared" si="20"/>
        <v>0</v>
      </c>
      <c r="T125" s="39"/>
    </row>
    <row r="126" spans="10:16" ht="19.5" customHeight="1">
      <c r="J126" s="12"/>
      <c r="P126" s="15">
        <f t="shared" si="20"/>
        <v>0</v>
      </c>
    </row>
    <row r="127" ht="12.75">
      <c r="P127" s="15">
        <f aca="true" t="shared" si="25" ref="P127:P133">SUM(G127:O127)-F127</f>
        <v>0</v>
      </c>
    </row>
    <row r="128" ht="12.75">
      <c r="P128" s="15">
        <f t="shared" si="25"/>
        <v>0</v>
      </c>
    </row>
    <row r="129" ht="12.75">
      <c r="P129" s="15">
        <f t="shared" si="25"/>
        <v>0</v>
      </c>
    </row>
    <row r="130" ht="12.75">
      <c r="P130" s="15">
        <f t="shared" si="25"/>
        <v>0</v>
      </c>
    </row>
    <row r="131" spans="6:16" ht="12.75">
      <c r="F131" s="16">
        <f>SUM(F4:F125)/2</f>
        <v>14998.375</v>
      </c>
      <c r="G131" s="16">
        <f aca="true" t="shared" si="26" ref="G131:O131">SUM(G4:G125)/2</f>
        <v>6029.309999999999</v>
      </c>
      <c r="H131" s="16">
        <f t="shared" si="26"/>
        <v>793.96</v>
      </c>
      <c r="I131" s="16">
        <f t="shared" si="26"/>
        <v>223.62</v>
      </c>
      <c r="J131" s="16">
        <f t="shared" si="26"/>
        <v>1841.615</v>
      </c>
      <c r="K131" s="16">
        <f t="shared" si="26"/>
        <v>482.6399999999999</v>
      </c>
      <c r="L131" s="16">
        <f t="shared" si="26"/>
        <v>589.9</v>
      </c>
      <c r="M131" s="16">
        <f t="shared" si="26"/>
        <v>1865.96</v>
      </c>
      <c r="N131" s="16">
        <f t="shared" si="26"/>
        <v>87.44999999999999</v>
      </c>
      <c r="O131" s="16">
        <f t="shared" si="26"/>
        <v>2861.92</v>
      </c>
      <c r="P131" s="15">
        <f t="shared" si="25"/>
        <v>-222.00000000000182</v>
      </c>
    </row>
    <row r="132" ht="12.75">
      <c r="P132" s="15">
        <f t="shared" si="25"/>
        <v>0</v>
      </c>
    </row>
    <row r="133" ht="12.75">
      <c r="P133" s="15">
        <f t="shared" si="25"/>
        <v>0</v>
      </c>
    </row>
    <row r="134" spans="6:13" ht="12.75">
      <c r="F134" s="16" t="s">
        <v>16</v>
      </c>
      <c r="G134" s="16" t="s">
        <v>16</v>
      </c>
      <c r="H134" s="16" t="s">
        <v>16</v>
      </c>
      <c r="I134" s="16" t="s">
        <v>16</v>
      </c>
      <c r="J134" s="16" t="s">
        <v>16</v>
      </c>
      <c r="K134" s="16" t="s">
        <v>16</v>
      </c>
      <c r="L134" s="16" t="s">
        <v>16</v>
      </c>
      <c r="M134" s="16" t="s">
        <v>16</v>
      </c>
    </row>
    <row r="137" ht="12.75">
      <c r="F137" s="16">
        <f>SUM(G131:O131)</f>
        <v>14776.374999999998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B117:B1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">
      <pane xSplit="11" ySplit="20" topLeftCell="L45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M63" sqref="M63"/>
    </sheetView>
  </sheetViews>
  <sheetFormatPr defaultColWidth="9.140625" defaultRowHeight="12.75"/>
  <cols>
    <col min="1" max="1" width="11.421875" style="0" customWidth="1"/>
    <col min="2" max="2" width="26.421875" style="0" bestFit="1" customWidth="1"/>
    <col min="5" max="5" width="20.8515625" style="0" bestFit="1" customWidth="1"/>
    <col min="6" max="6" width="10.140625" style="24" bestFit="1" customWidth="1"/>
    <col min="15" max="15" width="11.421875" style="0" customWidth="1"/>
    <col min="16" max="16" width="9.7109375" style="0" bestFit="1" customWidth="1"/>
  </cols>
  <sheetData>
    <row r="1" ht="20.25">
      <c r="A1" s="21" t="s">
        <v>57</v>
      </c>
    </row>
    <row r="2" spans="1:15" ht="12.75">
      <c r="A2" t="s">
        <v>0</v>
      </c>
      <c r="B2" t="s">
        <v>5</v>
      </c>
      <c r="C2" t="s">
        <v>28</v>
      </c>
      <c r="D2" t="s">
        <v>30</v>
      </c>
      <c r="E2" t="s">
        <v>6</v>
      </c>
      <c r="F2" s="24" t="s">
        <v>18</v>
      </c>
      <c r="G2" t="s">
        <v>3</v>
      </c>
      <c r="H2" s="1" t="s">
        <v>77</v>
      </c>
      <c r="I2" t="s">
        <v>19</v>
      </c>
      <c r="J2" t="s">
        <v>1</v>
      </c>
      <c r="K2" t="s">
        <v>4</v>
      </c>
      <c r="L2" t="s">
        <v>17</v>
      </c>
      <c r="M2" t="s">
        <v>11</v>
      </c>
      <c r="N2" t="s">
        <v>2</v>
      </c>
      <c r="O2" s="1" t="s">
        <v>76</v>
      </c>
    </row>
    <row r="3" spans="7:8" ht="12.75">
      <c r="G3" s="1"/>
      <c r="H3" s="1" t="s">
        <v>78</v>
      </c>
    </row>
    <row r="4" spans="1:16" ht="12.75">
      <c r="A4" s="45">
        <v>42461</v>
      </c>
      <c r="B4" s="1" t="s">
        <v>71</v>
      </c>
      <c r="C4" s="1" t="s">
        <v>16</v>
      </c>
      <c r="D4" s="1"/>
      <c r="F4" s="43">
        <v>65.2</v>
      </c>
      <c r="O4">
        <v>65.2</v>
      </c>
      <c r="P4" s="34">
        <f>F4-SUM(G4:O4)</f>
        <v>0</v>
      </c>
    </row>
    <row r="5" spans="1:20" ht="12.75">
      <c r="A5" s="23"/>
      <c r="B5" s="23" t="s">
        <v>74</v>
      </c>
      <c r="C5" s="23" t="s">
        <v>16</v>
      </c>
      <c r="D5" s="23"/>
      <c r="F5" s="27">
        <v>1665</v>
      </c>
      <c r="G5" s="28"/>
      <c r="H5" s="28"/>
      <c r="I5" s="23"/>
      <c r="J5" s="23"/>
      <c r="K5" s="23"/>
      <c r="L5" s="23"/>
      <c r="M5" s="23"/>
      <c r="N5" s="23">
        <v>1665</v>
      </c>
      <c r="O5" s="28"/>
      <c r="P5" s="34">
        <f aca="true" t="shared" si="0" ref="P5:P64">F5-SUM(G5:O5)</f>
        <v>0</v>
      </c>
      <c r="Q5" s="23"/>
      <c r="T5">
        <f>2086-F11</f>
        <v>1875</v>
      </c>
    </row>
    <row r="6" spans="1:17" ht="12.75">
      <c r="A6" s="23"/>
      <c r="B6" s="23" t="s">
        <v>75</v>
      </c>
      <c r="C6" s="23" t="s">
        <v>16</v>
      </c>
      <c r="D6" s="23"/>
      <c r="F6" s="27">
        <v>200</v>
      </c>
      <c r="G6" s="28"/>
      <c r="H6" s="28"/>
      <c r="I6" s="23"/>
      <c r="J6" s="23"/>
      <c r="K6" s="23"/>
      <c r="L6" s="23"/>
      <c r="M6" s="23"/>
      <c r="N6" s="23">
        <v>200</v>
      </c>
      <c r="O6" s="28"/>
      <c r="P6" s="34">
        <f t="shared" si="0"/>
        <v>0</v>
      </c>
      <c r="Q6" s="23"/>
    </row>
    <row r="7" spans="1:17" ht="12.75">
      <c r="A7" s="23"/>
      <c r="B7" s="23"/>
      <c r="C7" s="23"/>
      <c r="D7" s="23"/>
      <c r="F7" s="27"/>
      <c r="G7" s="28"/>
      <c r="H7" s="28"/>
      <c r="I7" s="23"/>
      <c r="J7" s="23"/>
      <c r="K7" s="23"/>
      <c r="L7" s="23"/>
      <c r="M7" s="23"/>
      <c r="N7" s="23"/>
      <c r="O7" s="28"/>
      <c r="P7" s="34"/>
      <c r="Q7" s="23"/>
    </row>
    <row r="8" spans="1:17" ht="12.75">
      <c r="A8" s="32" t="s">
        <v>35</v>
      </c>
      <c r="B8" s="33"/>
      <c r="C8" s="33"/>
      <c r="D8" s="33"/>
      <c r="E8" s="33"/>
      <c r="F8" s="34">
        <f aca="true" t="shared" si="1" ref="F8:O8">SUM(F4:F6)</f>
        <v>1930.2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1865</v>
      </c>
      <c r="O8" s="34">
        <f t="shared" si="1"/>
        <v>65.2</v>
      </c>
      <c r="P8" s="34">
        <f t="shared" si="0"/>
        <v>0</v>
      </c>
      <c r="Q8" s="23"/>
    </row>
    <row r="9" spans="1:17" ht="12.75">
      <c r="A9" s="36"/>
      <c r="B9" s="35"/>
      <c r="C9" s="35"/>
      <c r="D9" s="35"/>
      <c r="E9" s="35"/>
      <c r="F9" s="37"/>
      <c r="G9" s="37"/>
      <c r="H9" s="37"/>
      <c r="I9" s="37"/>
      <c r="J9" s="37"/>
      <c r="K9" s="37"/>
      <c r="L9" s="37"/>
      <c r="M9" s="37"/>
      <c r="N9" s="37"/>
      <c r="O9" s="37"/>
      <c r="P9" s="34"/>
      <c r="Q9" s="23"/>
    </row>
    <row r="10" spans="1:17" ht="12.75">
      <c r="A10" s="44">
        <v>42491</v>
      </c>
      <c r="B10" s="1" t="s">
        <v>79</v>
      </c>
      <c r="C10" s="1" t="s">
        <v>16</v>
      </c>
      <c r="F10" s="24">
        <v>48.32</v>
      </c>
      <c r="N10">
        <v>48.32</v>
      </c>
      <c r="P10" s="34">
        <f>F19-SUM(G19:O19)</f>
        <v>0</v>
      </c>
      <c r="Q10" s="23"/>
    </row>
    <row r="11" spans="1:17" ht="12.75">
      <c r="A11" s="23"/>
      <c r="B11" s="23" t="s">
        <v>72</v>
      </c>
      <c r="C11" s="23" t="s">
        <v>16</v>
      </c>
      <c r="D11" s="23"/>
      <c r="F11" s="27">
        <v>211</v>
      </c>
      <c r="G11" s="23"/>
      <c r="H11" s="23">
        <v>211</v>
      </c>
      <c r="I11" s="23"/>
      <c r="J11" s="23"/>
      <c r="K11" s="23"/>
      <c r="L11" s="23"/>
      <c r="M11" s="23"/>
      <c r="N11" s="23"/>
      <c r="O11" s="28"/>
      <c r="P11" s="34">
        <f>F11-SUM(G11:O11)</f>
        <v>0</v>
      </c>
      <c r="Q11" s="23"/>
    </row>
    <row r="12" spans="1:17" ht="12.75">
      <c r="A12" s="23"/>
      <c r="B12" s="23" t="s">
        <v>73</v>
      </c>
      <c r="C12" s="23" t="s">
        <v>16</v>
      </c>
      <c r="D12" s="23"/>
      <c r="F12" s="27">
        <v>1875</v>
      </c>
      <c r="G12" s="28">
        <v>1875</v>
      </c>
      <c r="H12" s="28"/>
      <c r="I12" s="23"/>
      <c r="J12" s="23"/>
      <c r="K12" s="23"/>
      <c r="L12" s="23"/>
      <c r="M12" s="23"/>
      <c r="N12" s="23"/>
      <c r="O12" s="28"/>
      <c r="P12" s="34">
        <f>F12-SUM(G12:O12)</f>
        <v>0</v>
      </c>
      <c r="Q12" s="23"/>
    </row>
    <row r="13" spans="1:20" ht="15">
      <c r="A13" s="23"/>
      <c r="B13" s="23" t="s">
        <v>80</v>
      </c>
      <c r="C13" s="23" t="s">
        <v>16</v>
      </c>
      <c r="D13" s="23"/>
      <c r="E13" s="23"/>
      <c r="F13" s="27">
        <v>135</v>
      </c>
      <c r="G13" s="23"/>
      <c r="H13" s="23"/>
      <c r="I13" s="23"/>
      <c r="J13" s="23"/>
      <c r="K13" s="23"/>
      <c r="L13" s="23"/>
      <c r="M13" s="23"/>
      <c r="N13" s="28">
        <v>135</v>
      </c>
      <c r="O13" s="28"/>
      <c r="P13" s="34">
        <f t="shared" si="0"/>
        <v>0</v>
      </c>
      <c r="Q13" s="23"/>
      <c r="T13" s="42"/>
    </row>
    <row r="14" spans="1:20" ht="15">
      <c r="A14" s="23"/>
      <c r="B14" s="23"/>
      <c r="C14" s="23"/>
      <c r="D14" s="23"/>
      <c r="E14" s="23"/>
      <c r="F14" s="27"/>
      <c r="G14" s="23"/>
      <c r="H14" s="23"/>
      <c r="I14" s="23"/>
      <c r="J14" s="23"/>
      <c r="K14" s="23"/>
      <c r="L14" s="23"/>
      <c r="M14" s="23"/>
      <c r="N14" s="23"/>
      <c r="O14" s="28"/>
      <c r="P14" s="34">
        <f t="shared" si="0"/>
        <v>0</v>
      </c>
      <c r="Q14" s="23"/>
      <c r="T14" s="42"/>
    </row>
    <row r="15" spans="1:20" s="22" customFormat="1" ht="15">
      <c r="A15" s="23"/>
      <c r="B15" s="23"/>
      <c r="C15" s="23"/>
      <c r="D15" s="23"/>
      <c r="E15" s="23"/>
      <c r="F15" s="27"/>
      <c r="G15" s="23"/>
      <c r="H15" s="23"/>
      <c r="I15" s="23"/>
      <c r="J15" s="23"/>
      <c r="K15" s="23"/>
      <c r="L15" s="23"/>
      <c r="M15" s="23"/>
      <c r="N15" s="23"/>
      <c r="O15" s="28"/>
      <c r="P15" s="34">
        <f t="shared" si="0"/>
        <v>0</v>
      </c>
      <c r="Q15" s="23"/>
      <c r="T15" s="42"/>
    </row>
    <row r="16" spans="1:20" s="22" customFormat="1" ht="15">
      <c r="A16" s="23"/>
      <c r="B16" s="23"/>
      <c r="C16" s="23"/>
      <c r="D16" s="23"/>
      <c r="E16" s="23"/>
      <c r="F16" s="27"/>
      <c r="G16" s="23"/>
      <c r="H16" s="23"/>
      <c r="I16" s="23"/>
      <c r="J16" s="23"/>
      <c r="K16" s="23"/>
      <c r="L16" s="23"/>
      <c r="M16" s="23"/>
      <c r="N16" s="23"/>
      <c r="O16" s="28"/>
      <c r="P16" s="34">
        <f t="shared" si="0"/>
        <v>0</v>
      </c>
      <c r="Q16" s="23"/>
      <c r="T16" s="42"/>
    </row>
    <row r="17" spans="1:20" ht="15">
      <c r="A17" s="32" t="s">
        <v>35</v>
      </c>
      <c r="B17" s="33"/>
      <c r="C17" s="33"/>
      <c r="D17" s="33"/>
      <c r="E17" s="33"/>
      <c r="F17" s="34">
        <f>SUM(F9:F16)</f>
        <v>2269.32</v>
      </c>
      <c r="G17" s="34">
        <f aca="true" t="shared" si="2" ref="G17:P17">SUM(G9:G16)</f>
        <v>1875</v>
      </c>
      <c r="H17" s="34">
        <f t="shared" si="2"/>
        <v>211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183.32</v>
      </c>
      <c r="O17" s="34">
        <f t="shared" si="2"/>
        <v>0</v>
      </c>
      <c r="P17" s="34">
        <f t="shared" si="2"/>
        <v>0</v>
      </c>
      <c r="Q17" s="34"/>
      <c r="T17" s="42"/>
    </row>
    <row r="18" spans="1:20" s="22" customFormat="1" ht="15">
      <c r="A18" s="23"/>
      <c r="B18" s="23"/>
      <c r="C18" s="23"/>
      <c r="D18" s="23"/>
      <c r="E18" s="23"/>
      <c r="F18" s="27"/>
      <c r="G18" s="23"/>
      <c r="H18" s="23"/>
      <c r="I18" s="23"/>
      <c r="J18" s="23"/>
      <c r="K18" s="23"/>
      <c r="L18" s="23"/>
      <c r="M18" s="23"/>
      <c r="N18" s="23"/>
      <c r="O18" s="28"/>
      <c r="P18" s="34">
        <f t="shared" si="0"/>
        <v>0</v>
      </c>
      <c r="Q18" s="23"/>
      <c r="T18" s="42"/>
    </row>
    <row r="19" spans="1:17" s="26" customFormat="1" ht="12.75">
      <c r="A19" s="44">
        <v>42522</v>
      </c>
      <c r="B19" s="23" t="s">
        <v>81</v>
      </c>
      <c r="C19" s="23" t="s">
        <v>16</v>
      </c>
      <c r="D19" s="23"/>
      <c r="E19"/>
      <c r="F19" s="27">
        <v>560</v>
      </c>
      <c r="G19" s="23"/>
      <c r="H19" s="23"/>
      <c r="I19" s="23"/>
      <c r="J19" s="23"/>
      <c r="K19" s="23"/>
      <c r="L19" s="23"/>
      <c r="M19" s="23"/>
      <c r="N19" s="23">
        <v>560</v>
      </c>
      <c r="O19" s="28"/>
      <c r="P19" s="34">
        <f t="shared" si="0"/>
        <v>0</v>
      </c>
      <c r="Q19" s="23"/>
    </row>
    <row r="20" spans="1:17" s="26" customFormat="1" ht="12.75">
      <c r="A20" s="23"/>
      <c r="B20" s="23"/>
      <c r="C20" s="23"/>
      <c r="D20" s="23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8"/>
      <c r="P20" s="34">
        <f t="shared" si="0"/>
        <v>0</v>
      </c>
      <c r="Q20" s="23"/>
    </row>
    <row r="21" spans="1:17" s="26" customFormat="1" ht="12.75">
      <c r="A21" s="23"/>
      <c r="B21" s="23"/>
      <c r="C21" s="23"/>
      <c r="D21" s="23"/>
      <c r="E21" s="23"/>
      <c r="F21" s="27"/>
      <c r="G21" s="23"/>
      <c r="H21" s="23"/>
      <c r="I21" s="23"/>
      <c r="J21" s="23"/>
      <c r="K21" s="23"/>
      <c r="L21" s="23"/>
      <c r="M21" s="23"/>
      <c r="N21" s="28"/>
      <c r="O21" s="28"/>
      <c r="P21" s="34">
        <f t="shared" si="0"/>
        <v>0</v>
      </c>
      <c r="Q21" s="23"/>
    </row>
    <row r="22" spans="1:17" s="26" customFormat="1" ht="12.75">
      <c r="A22" s="23"/>
      <c r="B22" s="23"/>
      <c r="C22" s="23"/>
      <c r="D22" s="23"/>
      <c r="E22" s="23"/>
      <c r="F22" s="27"/>
      <c r="G22" s="23"/>
      <c r="H22" s="23"/>
      <c r="I22" s="23"/>
      <c r="J22" s="23"/>
      <c r="K22" s="23"/>
      <c r="L22" s="23"/>
      <c r="M22" s="23"/>
      <c r="N22" s="28"/>
      <c r="O22" s="28"/>
      <c r="P22" s="34">
        <f t="shared" si="0"/>
        <v>0</v>
      </c>
      <c r="Q22" s="23"/>
    </row>
    <row r="23" spans="1:17" s="26" customFormat="1" ht="12.75">
      <c r="A23" s="32" t="s">
        <v>35</v>
      </c>
      <c r="B23" s="33"/>
      <c r="C23" s="33"/>
      <c r="D23" s="33"/>
      <c r="E23" s="33"/>
      <c r="F23" s="34">
        <f>SUM(F19:F22)</f>
        <v>560</v>
      </c>
      <c r="G23" s="34">
        <f>SUM(G19:G22)</f>
        <v>0</v>
      </c>
      <c r="H23" s="34"/>
      <c r="I23" s="34">
        <f aca="true" t="shared" si="3" ref="I23:O23">SUM(I19:I22)</f>
        <v>0</v>
      </c>
      <c r="J23" s="34">
        <f t="shared" si="3"/>
        <v>0</v>
      </c>
      <c r="K23" s="34">
        <f t="shared" si="3"/>
        <v>0</v>
      </c>
      <c r="L23" s="34">
        <f t="shared" si="3"/>
        <v>0</v>
      </c>
      <c r="M23" s="34">
        <f t="shared" si="3"/>
        <v>0</v>
      </c>
      <c r="N23" s="34">
        <f t="shared" si="3"/>
        <v>560</v>
      </c>
      <c r="O23" s="34">
        <f t="shared" si="3"/>
        <v>0</v>
      </c>
      <c r="P23" s="34">
        <f t="shared" si="0"/>
        <v>0</v>
      </c>
      <c r="Q23" s="23"/>
    </row>
    <row r="24" spans="1:17" s="26" customFormat="1" ht="12.75">
      <c r="A24" s="36"/>
      <c r="B24" s="35"/>
      <c r="C24" s="35"/>
      <c r="D24" s="35"/>
      <c r="E24" s="35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4"/>
      <c r="Q24" s="23"/>
    </row>
    <row r="25" spans="1:17" s="26" customFormat="1" ht="12.75">
      <c r="A25" s="36"/>
      <c r="B25" s="35"/>
      <c r="C25" s="35"/>
      <c r="D25" s="35"/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4"/>
      <c r="Q25" s="23"/>
    </row>
    <row r="26" spans="1:17" s="26" customFormat="1" ht="12.75">
      <c r="A26" s="38">
        <v>42552</v>
      </c>
      <c r="B26" s="23" t="s">
        <v>99</v>
      </c>
      <c r="C26" s="23" t="s">
        <v>16</v>
      </c>
      <c r="D26" s="23"/>
      <c r="E26" s="23"/>
      <c r="F26" s="27">
        <v>3.02</v>
      </c>
      <c r="G26" s="23"/>
      <c r="H26" s="23"/>
      <c r="I26" s="23">
        <v>3.02</v>
      </c>
      <c r="J26" s="23"/>
      <c r="K26" s="23"/>
      <c r="L26" s="23"/>
      <c r="M26" s="23"/>
      <c r="N26" s="23"/>
      <c r="O26" s="28"/>
      <c r="P26" s="34">
        <f t="shared" si="0"/>
        <v>0</v>
      </c>
      <c r="Q26" s="23"/>
    </row>
    <row r="27" spans="1:17" s="26" customFormat="1" ht="12.75">
      <c r="A27" s="44">
        <v>42552</v>
      </c>
      <c r="B27" s="23" t="s">
        <v>71</v>
      </c>
      <c r="C27" s="23" t="s">
        <v>16</v>
      </c>
      <c r="D27" s="23"/>
      <c r="E27" s="23"/>
      <c r="F27" s="27">
        <v>283.58</v>
      </c>
      <c r="G27" s="23"/>
      <c r="H27" s="23"/>
      <c r="I27" s="23"/>
      <c r="J27" s="23"/>
      <c r="K27" s="23"/>
      <c r="L27" s="23"/>
      <c r="M27" s="23"/>
      <c r="N27" s="23"/>
      <c r="O27" s="28">
        <v>283.58</v>
      </c>
      <c r="P27" s="34">
        <f t="shared" si="0"/>
        <v>0</v>
      </c>
      <c r="Q27" s="23"/>
    </row>
    <row r="28" spans="1:18" s="22" customFormat="1" ht="12.75">
      <c r="A28" s="32" t="s">
        <v>35</v>
      </c>
      <c r="B28" s="33" t="s">
        <v>66</v>
      </c>
      <c r="C28" s="33"/>
      <c r="D28" s="33"/>
      <c r="E28" s="33"/>
      <c r="F28" s="34">
        <f>SUM(F26:F27)</f>
        <v>286.59999999999997</v>
      </c>
      <c r="G28" s="34">
        <f aca="true" t="shared" si="4" ref="G28:O28">SUM(G26:G27)</f>
        <v>0</v>
      </c>
      <c r="H28" s="34"/>
      <c r="I28" s="34">
        <f t="shared" si="4"/>
        <v>3.02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283.58</v>
      </c>
      <c r="P28" s="34">
        <f t="shared" si="0"/>
        <v>0</v>
      </c>
      <c r="Q28" s="23"/>
      <c r="R28" s="22" t="s">
        <v>16</v>
      </c>
    </row>
    <row r="29" spans="1:17" s="22" customFormat="1" ht="12.75">
      <c r="A29" s="23"/>
      <c r="B29" s="23"/>
      <c r="C29" s="23"/>
      <c r="D29" s="23"/>
      <c r="E29" s="23"/>
      <c r="F29" s="27"/>
      <c r="G29" s="23"/>
      <c r="H29" s="23"/>
      <c r="I29" s="23"/>
      <c r="J29" s="23"/>
      <c r="K29" s="23"/>
      <c r="L29" s="23"/>
      <c r="M29" s="23"/>
      <c r="N29" s="23"/>
      <c r="O29" s="28"/>
      <c r="P29" s="34">
        <f t="shared" si="0"/>
        <v>0</v>
      </c>
      <c r="Q29" s="23"/>
    </row>
    <row r="30" spans="1:17" ht="12.75">
      <c r="A30" s="23" t="s">
        <v>122</v>
      </c>
      <c r="B30" s="23" t="s">
        <v>123</v>
      </c>
      <c r="C30" s="23"/>
      <c r="D30" s="23"/>
      <c r="E30" s="23"/>
      <c r="F30" s="27">
        <v>304.3</v>
      </c>
      <c r="G30" s="23"/>
      <c r="H30" s="23"/>
      <c r="I30" s="23"/>
      <c r="J30" s="23"/>
      <c r="K30" s="23"/>
      <c r="L30" s="23"/>
      <c r="M30" s="23"/>
      <c r="N30" s="23"/>
      <c r="O30" s="28">
        <v>304.3</v>
      </c>
      <c r="P30" s="34">
        <f t="shared" si="0"/>
        <v>0</v>
      </c>
      <c r="Q30" s="23"/>
    </row>
    <row r="31" spans="1:17" ht="12.75">
      <c r="A31" s="23" t="s">
        <v>119</v>
      </c>
      <c r="B31" s="23" t="s">
        <v>120</v>
      </c>
      <c r="C31" s="23" t="s">
        <v>16</v>
      </c>
      <c r="D31" s="23"/>
      <c r="E31" s="23"/>
      <c r="F31" s="27">
        <v>3.06</v>
      </c>
      <c r="G31" s="23"/>
      <c r="H31" s="23"/>
      <c r="I31" s="23">
        <v>3.06</v>
      </c>
      <c r="J31" s="23"/>
      <c r="K31" s="23"/>
      <c r="L31" s="23"/>
      <c r="M31" s="23"/>
      <c r="N31" s="23"/>
      <c r="O31" s="28"/>
      <c r="P31" s="34">
        <f t="shared" si="0"/>
        <v>0</v>
      </c>
      <c r="Q31" s="23"/>
    </row>
    <row r="32" spans="1:17" ht="12.75">
      <c r="A32" s="23" t="s">
        <v>124</v>
      </c>
      <c r="B32" s="23" t="s">
        <v>125</v>
      </c>
      <c r="C32" s="23" t="s">
        <v>16</v>
      </c>
      <c r="D32" s="23"/>
      <c r="E32" s="23"/>
      <c r="F32" s="27">
        <v>2085</v>
      </c>
      <c r="G32" s="23">
        <v>1875</v>
      </c>
      <c r="H32" s="23">
        <v>210</v>
      </c>
      <c r="I32" s="23"/>
      <c r="J32" s="23"/>
      <c r="K32" s="23"/>
      <c r="L32" s="23"/>
      <c r="M32" s="23"/>
      <c r="N32" s="23"/>
      <c r="O32" s="28"/>
      <c r="P32" s="34">
        <f t="shared" si="0"/>
        <v>0</v>
      </c>
      <c r="Q32" s="23"/>
    </row>
    <row r="33" spans="1:17" ht="12.75">
      <c r="A33" s="23"/>
      <c r="B33" s="23"/>
      <c r="C33" s="23"/>
      <c r="D33" s="23"/>
      <c r="E33" s="23"/>
      <c r="F33" s="27"/>
      <c r="G33" s="23"/>
      <c r="H33" s="23"/>
      <c r="I33" s="23"/>
      <c r="J33" s="23"/>
      <c r="K33" s="23"/>
      <c r="L33" s="23"/>
      <c r="M33" s="23"/>
      <c r="N33" s="23"/>
      <c r="O33" s="28"/>
      <c r="P33" s="34">
        <f t="shared" si="0"/>
        <v>0</v>
      </c>
      <c r="Q33" s="23"/>
    </row>
    <row r="34" spans="1:18" ht="12.75">
      <c r="A34" s="32" t="s">
        <v>35</v>
      </c>
      <c r="B34" s="33" t="s">
        <v>121</v>
      </c>
      <c r="C34" s="33"/>
      <c r="D34" s="33"/>
      <c r="E34" s="33"/>
      <c r="F34" s="34">
        <f>SUM(F29:F33)</f>
        <v>2392.36</v>
      </c>
      <c r="G34" s="34">
        <f aca="true" t="shared" si="5" ref="G34:P34">SUM(G29:G33)</f>
        <v>1875</v>
      </c>
      <c r="H34" s="34">
        <f t="shared" si="5"/>
        <v>210</v>
      </c>
      <c r="I34" s="34">
        <f t="shared" si="5"/>
        <v>3.06</v>
      </c>
      <c r="J34" s="34">
        <f t="shared" si="5"/>
        <v>0</v>
      </c>
      <c r="K34" s="34">
        <f t="shared" si="5"/>
        <v>0</v>
      </c>
      <c r="L34" s="34">
        <f t="shared" si="5"/>
        <v>0</v>
      </c>
      <c r="M34" s="34">
        <f t="shared" si="5"/>
        <v>0</v>
      </c>
      <c r="N34" s="34">
        <f t="shared" si="5"/>
        <v>0</v>
      </c>
      <c r="O34" s="34">
        <f t="shared" si="5"/>
        <v>304.3</v>
      </c>
      <c r="P34" s="34">
        <f t="shared" si="5"/>
        <v>0</v>
      </c>
      <c r="Q34" s="23"/>
      <c r="R34" t="s">
        <v>16</v>
      </c>
    </row>
    <row r="35" spans="1:17" ht="12.75">
      <c r="A35" s="23"/>
      <c r="B35" s="23"/>
      <c r="C35" s="23"/>
      <c r="D35" s="23"/>
      <c r="E35" s="23"/>
      <c r="F35" s="27"/>
      <c r="G35" s="23"/>
      <c r="H35" s="23"/>
      <c r="I35" s="23"/>
      <c r="J35" s="23"/>
      <c r="K35" s="23"/>
      <c r="L35" s="23"/>
      <c r="M35" s="23"/>
      <c r="N35" s="23"/>
      <c r="O35" s="28"/>
      <c r="P35" s="34">
        <f t="shared" si="0"/>
        <v>0</v>
      </c>
      <c r="Q35" s="23"/>
    </row>
    <row r="36" spans="1:17" ht="12.75">
      <c r="A36" s="23">
        <v>11.16</v>
      </c>
      <c r="B36" s="23" t="s">
        <v>135</v>
      </c>
      <c r="C36" s="23"/>
      <c r="D36" s="23"/>
      <c r="E36" s="23"/>
      <c r="F36" s="27">
        <v>278.86</v>
      </c>
      <c r="G36" s="23"/>
      <c r="H36" s="23"/>
      <c r="I36" s="23"/>
      <c r="J36" s="23"/>
      <c r="K36" s="23"/>
      <c r="L36" s="23">
        <v>278.86</v>
      </c>
      <c r="M36" s="23"/>
      <c r="N36" s="23"/>
      <c r="O36" s="28"/>
      <c r="P36" s="34">
        <f t="shared" si="0"/>
        <v>0</v>
      </c>
      <c r="Q36" s="23"/>
    </row>
    <row r="37" spans="1:17" ht="12.75">
      <c r="A37" s="23"/>
      <c r="B37" s="23"/>
      <c r="C37" s="23"/>
      <c r="D37" s="23"/>
      <c r="E37" s="23"/>
      <c r="F37" s="27"/>
      <c r="G37" s="23"/>
      <c r="H37" s="23"/>
      <c r="I37" s="23"/>
      <c r="J37" s="23"/>
      <c r="K37" s="23"/>
      <c r="L37" s="23"/>
      <c r="M37" s="23"/>
      <c r="N37" s="23"/>
      <c r="O37" s="28"/>
      <c r="P37" s="34">
        <f t="shared" si="0"/>
        <v>0</v>
      </c>
      <c r="Q37" s="23"/>
    </row>
    <row r="38" spans="1:18" ht="12.75">
      <c r="A38" s="32" t="s">
        <v>35</v>
      </c>
      <c r="B38" s="33" t="s">
        <v>39</v>
      </c>
      <c r="C38" s="33"/>
      <c r="D38" s="33"/>
      <c r="E38" s="33"/>
      <c r="F38" s="34">
        <f>SUM(F35:F37)</f>
        <v>278.86</v>
      </c>
      <c r="G38" s="34">
        <f aca="true" t="shared" si="6" ref="G38:O38">SUM(G35:G37)</f>
        <v>0</v>
      </c>
      <c r="H38" s="34"/>
      <c r="I38" s="34">
        <f t="shared" si="6"/>
        <v>0</v>
      </c>
      <c r="J38" s="34">
        <f t="shared" si="6"/>
        <v>0</v>
      </c>
      <c r="K38" s="34">
        <f t="shared" si="6"/>
        <v>0</v>
      </c>
      <c r="L38" s="34">
        <f t="shared" si="6"/>
        <v>278.86</v>
      </c>
      <c r="M38" s="34">
        <f t="shared" si="6"/>
        <v>0</v>
      </c>
      <c r="N38" s="34">
        <f t="shared" si="6"/>
        <v>0</v>
      </c>
      <c r="O38" s="34">
        <f t="shared" si="6"/>
        <v>0</v>
      </c>
      <c r="P38" s="34">
        <f t="shared" si="0"/>
        <v>0</v>
      </c>
      <c r="Q38" s="23"/>
      <c r="R38" t="s">
        <v>16</v>
      </c>
    </row>
    <row r="39" spans="1:17" ht="12.75">
      <c r="A39" s="23"/>
      <c r="B39" s="35"/>
      <c r="C39" s="23"/>
      <c r="D39" s="23"/>
      <c r="E39" s="23"/>
      <c r="F39" s="27"/>
      <c r="G39" s="23"/>
      <c r="H39" s="23"/>
      <c r="I39" s="28"/>
      <c r="J39" s="23"/>
      <c r="K39" s="23"/>
      <c r="L39" s="23"/>
      <c r="M39" s="23"/>
      <c r="N39" s="23"/>
      <c r="O39" s="28"/>
      <c r="P39" s="34">
        <f t="shared" si="0"/>
        <v>0</v>
      </c>
      <c r="Q39" s="23"/>
    </row>
    <row r="40" spans="1:17" ht="12.75">
      <c r="A40" s="23"/>
      <c r="B40" s="35"/>
      <c r="C40" s="23"/>
      <c r="D40" s="23"/>
      <c r="E40" s="23"/>
      <c r="F40" s="27"/>
      <c r="G40" s="23"/>
      <c r="H40" s="23"/>
      <c r="I40" s="28"/>
      <c r="J40" s="23"/>
      <c r="K40" s="23"/>
      <c r="L40" s="23"/>
      <c r="M40" s="23"/>
      <c r="N40" s="23"/>
      <c r="O40" s="28"/>
      <c r="P40" s="34">
        <f t="shared" si="0"/>
        <v>0</v>
      </c>
      <c r="Q40" s="23"/>
    </row>
    <row r="41" spans="1:17" ht="12.75">
      <c r="A41" s="23" t="s">
        <v>144</v>
      </c>
      <c r="B41" s="35" t="s">
        <v>71</v>
      </c>
      <c r="C41" s="23" t="s">
        <v>16</v>
      </c>
      <c r="D41" s="23"/>
      <c r="E41" s="23"/>
      <c r="F41" s="27">
        <v>76.42</v>
      </c>
      <c r="G41" s="23"/>
      <c r="H41" s="23"/>
      <c r="I41" s="28"/>
      <c r="J41" s="23"/>
      <c r="K41" s="23"/>
      <c r="L41" s="23"/>
      <c r="M41" s="23"/>
      <c r="N41" s="23"/>
      <c r="O41" s="28">
        <v>76.42</v>
      </c>
      <c r="P41" s="34">
        <f t="shared" si="0"/>
        <v>0</v>
      </c>
      <c r="Q41" s="23"/>
    </row>
    <row r="42" spans="1:17" ht="12.75">
      <c r="A42" s="23"/>
      <c r="B42" s="35"/>
      <c r="C42" s="23"/>
      <c r="D42" s="23"/>
      <c r="E42" s="23"/>
      <c r="F42" s="27"/>
      <c r="G42" s="23"/>
      <c r="H42" s="23"/>
      <c r="I42" s="28"/>
      <c r="J42" s="23"/>
      <c r="K42" s="23"/>
      <c r="L42" s="23"/>
      <c r="M42" s="23"/>
      <c r="N42" s="23"/>
      <c r="O42" s="28"/>
      <c r="P42" s="34">
        <f t="shared" si="0"/>
        <v>0</v>
      </c>
      <c r="Q42" s="23"/>
    </row>
    <row r="43" spans="1:17" ht="12.75">
      <c r="A43" s="23"/>
      <c r="B43" s="35"/>
      <c r="C43" s="23"/>
      <c r="D43" s="23"/>
      <c r="E43" s="23"/>
      <c r="F43" s="27"/>
      <c r="G43" s="23"/>
      <c r="H43" s="23"/>
      <c r="I43" s="28"/>
      <c r="J43" s="23"/>
      <c r="K43" s="23"/>
      <c r="L43" s="23"/>
      <c r="M43" s="23"/>
      <c r="N43" s="23"/>
      <c r="O43" s="28"/>
      <c r="P43" s="34">
        <f t="shared" si="0"/>
        <v>0</v>
      </c>
      <c r="Q43" s="23"/>
    </row>
    <row r="44" spans="1:17" ht="12.75">
      <c r="A44" s="23"/>
      <c r="B44" s="35"/>
      <c r="C44" s="23"/>
      <c r="D44" s="23"/>
      <c r="E44" s="23"/>
      <c r="F44" s="27"/>
      <c r="G44" s="23"/>
      <c r="H44" s="23"/>
      <c r="I44" s="23"/>
      <c r="J44" s="23"/>
      <c r="K44" s="23"/>
      <c r="L44" s="23"/>
      <c r="M44" s="23"/>
      <c r="N44" s="23"/>
      <c r="O44" s="28"/>
      <c r="P44" s="34">
        <f t="shared" si="0"/>
        <v>0</v>
      </c>
      <c r="Q44" s="23"/>
    </row>
    <row r="45" spans="1:18" ht="12.75">
      <c r="A45" s="32" t="s">
        <v>35</v>
      </c>
      <c r="B45" s="33" t="s">
        <v>145</v>
      </c>
      <c r="C45" s="33"/>
      <c r="D45" s="33"/>
      <c r="E45" s="33"/>
      <c r="F45" s="34">
        <f aca="true" t="shared" si="7" ref="F45:O45">SUM(F39:F44)</f>
        <v>76.42</v>
      </c>
      <c r="G45" s="34">
        <f t="shared" si="7"/>
        <v>0</v>
      </c>
      <c r="H45" s="34"/>
      <c r="I45" s="34">
        <f t="shared" si="7"/>
        <v>0</v>
      </c>
      <c r="J45" s="34">
        <f t="shared" si="7"/>
        <v>0</v>
      </c>
      <c r="K45" s="34">
        <f t="shared" si="7"/>
        <v>0</v>
      </c>
      <c r="L45" s="34">
        <f t="shared" si="7"/>
        <v>0</v>
      </c>
      <c r="M45" s="34">
        <f t="shared" si="7"/>
        <v>0</v>
      </c>
      <c r="N45" s="34">
        <f t="shared" si="7"/>
        <v>0</v>
      </c>
      <c r="O45" s="34">
        <f t="shared" si="7"/>
        <v>76.42</v>
      </c>
      <c r="P45" s="34">
        <f t="shared" si="0"/>
        <v>0</v>
      </c>
      <c r="Q45" s="23"/>
      <c r="R45" t="s">
        <v>16</v>
      </c>
    </row>
    <row r="46" spans="1:17" ht="12.75">
      <c r="A46" s="23"/>
      <c r="B46" s="35"/>
      <c r="C46" s="23"/>
      <c r="D46" s="23"/>
      <c r="E46" s="23"/>
      <c r="F46" s="27"/>
      <c r="G46" s="23"/>
      <c r="H46" s="23"/>
      <c r="I46" s="28"/>
      <c r="J46" s="23"/>
      <c r="K46" s="23"/>
      <c r="L46" s="23"/>
      <c r="M46" s="23"/>
      <c r="N46" s="23"/>
      <c r="O46" s="28"/>
      <c r="P46" s="34">
        <f t="shared" si="0"/>
        <v>0</v>
      </c>
      <c r="Q46" s="23"/>
    </row>
    <row r="47" spans="1:17" ht="12.75">
      <c r="A47" s="23" t="s">
        <v>162</v>
      </c>
      <c r="B47" s="35" t="s">
        <v>163</v>
      </c>
      <c r="C47" s="23" t="s">
        <v>16</v>
      </c>
      <c r="D47" s="23"/>
      <c r="E47" s="23"/>
      <c r="F47" s="27">
        <v>110</v>
      </c>
      <c r="G47" s="23"/>
      <c r="H47" s="23"/>
      <c r="I47" s="28"/>
      <c r="J47" s="23">
        <v>110</v>
      </c>
      <c r="K47" s="23"/>
      <c r="L47" s="23"/>
      <c r="M47" s="23"/>
      <c r="N47" s="23"/>
      <c r="O47" s="28"/>
      <c r="P47" s="34"/>
      <c r="Q47" s="23"/>
    </row>
    <row r="48" spans="2:16" ht="12.75">
      <c r="B48" t="s">
        <v>161</v>
      </c>
      <c r="C48" t="s">
        <v>16</v>
      </c>
      <c r="F48" s="24">
        <v>1.62</v>
      </c>
      <c r="I48">
        <v>1.62</v>
      </c>
      <c r="P48" s="34">
        <f t="shared" si="0"/>
        <v>0</v>
      </c>
    </row>
    <row r="49" spans="1:17" ht="12.75">
      <c r="A49" s="23"/>
      <c r="B49" s="35"/>
      <c r="C49" s="23"/>
      <c r="D49" s="23"/>
      <c r="E49" s="23"/>
      <c r="F49" s="27"/>
      <c r="G49" s="23"/>
      <c r="H49" s="23"/>
      <c r="I49" s="23"/>
      <c r="J49" s="23"/>
      <c r="K49" s="23"/>
      <c r="L49" s="23"/>
      <c r="M49" s="23"/>
      <c r="N49" s="23"/>
      <c r="O49" s="28"/>
      <c r="P49" s="34">
        <f t="shared" si="0"/>
        <v>0</v>
      </c>
      <c r="Q49" s="23"/>
    </row>
    <row r="50" spans="1:18" ht="12.75">
      <c r="A50" s="32" t="s">
        <v>35</v>
      </c>
      <c r="B50" s="33" t="s">
        <v>146</v>
      </c>
      <c r="C50" s="33"/>
      <c r="D50" s="33"/>
      <c r="E50" s="33"/>
      <c r="F50" s="34">
        <f>SUM(F46:F49)</f>
        <v>111.62</v>
      </c>
      <c r="G50" s="34">
        <f aca="true" t="shared" si="8" ref="G50:O50">SUM(G46:G49)</f>
        <v>0</v>
      </c>
      <c r="H50" s="34"/>
      <c r="I50" s="34">
        <f t="shared" si="8"/>
        <v>1.62</v>
      </c>
      <c r="J50" s="34">
        <f t="shared" si="8"/>
        <v>110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4">
        <f t="shared" si="8"/>
        <v>0</v>
      </c>
      <c r="P50" s="34">
        <f t="shared" si="0"/>
        <v>0</v>
      </c>
      <c r="Q50" s="23"/>
      <c r="R50" t="s">
        <v>16</v>
      </c>
    </row>
    <row r="51" spans="1:16" ht="12.75">
      <c r="A51" s="22"/>
      <c r="B51" s="35"/>
      <c r="C51" s="22"/>
      <c r="D51" s="22"/>
      <c r="E51" s="22"/>
      <c r="F51" s="25"/>
      <c r="G51" s="22"/>
      <c r="H51" s="22"/>
      <c r="I51" s="22"/>
      <c r="J51" s="22"/>
      <c r="K51" s="22"/>
      <c r="L51" s="22"/>
      <c r="M51" s="22"/>
      <c r="N51" s="22"/>
      <c r="O51" s="22"/>
      <c r="P51" s="34">
        <f t="shared" si="0"/>
        <v>0</v>
      </c>
    </row>
    <row r="52" spans="1:17" ht="12.75">
      <c r="A52" s="23" t="s">
        <v>164</v>
      </c>
      <c r="B52" s="35" t="s">
        <v>163</v>
      </c>
      <c r="C52" s="23" t="s">
        <v>16</v>
      </c>
      <c r="D52" s="23"/>
      <c r="E52" s="23"/>
      <c r="F52" s="27">
        <v>60</v>
      </c>
      <c r="G52" s="23"/>
      <c r="H52" s="23"/>
      <c r="I52" s="28"/>
      <c r="J52" s="23">
        <v>60</v>
      </c>
      <c r="K52" s="23"/>
      <c r="L52" s="23"/>
      <c r="M52" s="23"/>
      <c r="N52" s="23"/>
      <c r="O52" s="28"/>
      <c r="P52" s="34">
        <f t="shared" si="0"/>
        <v>0</v>
      </c>
      <c r="Q52" s="23"/>
    </row>
    <row r="53" spans="1:16" ht="12.75">
      <c r="A53" s="22"/>
      <c r="B53" s="35"/>
      <c r="C53" s="22"/>
      <c r="D53" s="22"/>
      <c r="E53" s="22"/>
      <c r="F53" s="25"/>
      <c r="G53" s="22"/>
      <c r="H53" s="22"/>
      <c r="I53" s="22"/>
      <c r="J53" s="22"/>
      <c r="K53" s="22"/>
      <c r="L53" s="22"/>
      <c r="M53" s="22"/>
      <c r="N53" s="22"/>
      <c r="O53" s="22"/>
      <c r="P53" s="34">
        <f t="shared" si="0"/>
        <v>0</v>
      </c>
    </row>
    <row r="54" spans="1:18" ht="12.75">
      <c r="A54" s="32" t="s">
        <v>35</v>
      </c>
      <c r="B54" s="33" t="s">
        <v>147</v>
      </c>
      <c r="C54" s="33"/>
      <c r="D54" s="33"/>
      <c r="E54" s="33"/>
      <c r="F54" s="34">
        <f>SUM(F51:F53)</f>
        <v>60</v>
      </c>
      <c r="G54" s="34">
        <f aca="true" t="shared" si="9" ref="G54:O54">SUM(G51:G53)</f>
        <v>0</v>
      </c>
      <c r="H54" s="34"/>
      <c r="I54" s="34">
        <f t="shared" si="9"/>
        <v>0</v>
      </c>
      <c r="J54" s="34">
        <f t="shared" si="9"/>
        <v>60</v>
      </c>
      <c r="K54" s="34">
        <f t="shared" si="9"/>
        <v>0</v>
      </c>
      <c r="L54" s="34">
        <f t="shared" si="9"/>
        <v>0</v>
      </c>
      <c r="M54" s="34">
        <f t="shared" si="9"/>
        <v>0</v>
      </c>
      <c r="N54" s="34">
        <f t="shared" si="9"/>
        <v>0</v>
      </c>
      <c r="O54" s="34">
        <f t="shared" si="9"/>
        <v>0</v>
      </c>
      <c r="P54" s="34">
        <f t="shared" si="0"/>
        <v>0</v>
      </c>
      <c r="Q54" s="23"/>
      <c r="R54" t="s">
        <v>16</v>
      </c>
    </row>
    <row r="55" spans="1:16" ht="12.75">
      <c r="A55" s="22" t="s">
        <v>172</v>
      </c>
      <c r="B55" s="35" t="s">
        <v>173</v>
      </c>
      <c r="C55" s="22" t="s">
        <v>16</v>
      </c>
      <c r="D55" s="22"/>
      <c r="E55" s="22"/>
      <c r="F55" s="25">
        <v>42.38</v>
      </c>
      <c r="G55" s="22"/>
      <c r="H55" s="22"/>
      <c r="I55" s="22"/>
      <c r="J55" s="22"/>
      <c r="K55" s="22"/>
      <c r="L55" s="22"/>
      <c r="M55" s="22"/>
      <c r="N55" s="22"/>
      <c r="O55" s="22">
        <v>42.38</v>
      </c>
      <c r="P55" s="34">
        <f>F55-SUM(G55:O55)</f>
        <v>0</v>
      </c>
    </row>
    <row r="56" spans="16:17" ht="12.75">
      <c r="P56" s="34">
        <f>F58-SUM(G58:O58)</f>
        <v>0</v>
      </c>
      <c r="Q56" s="23"/>
    </row>
    <row r="57" spans="1:18" ht="12.75">
      <c r="A57" s="32" t="s">
        <v>35</v>
      </c>
      <c r="B57" s="33" t="s">
        <v>212</v>
      </c>
      <c r="C57" s="33"/>
      <c r="D57" s="33"/>
      <c r="E57" s="33"/>
      <c r="F57" s="34">
        <f>SUM(F55:F56)</f>
        <v>42.38</v>
      </c>
      <c r="G57" s="34">
        <f aca="true" t="shared" si="10" ref="G57:O57">SUM(G55:G56)</f>
        <v>0</v>
      </c>
      <c r="H57" s="34">
        <f t="shared" si="10"/>
        <v>0</v>
      </c>
      <c r="I57" s="34">
        <f t="shared" si="10"/>
        <v>0</v>
      </c>
      <c r="J57" s="34">
        <f t="shared" si="10"/>
        <v>0</v>
      </c>
      <c r="K57" s="34">
        <f t="shared" si="10"/>
        <v>0</v>
      </c>
      <c r="L57" s="34">
        <f t="shared" si="10"/>
        <v>0</v>
      </c>
      <c r="M57" s="34">
        <f t="shared" si="10"/>
        <v>0</v>
      </c>
      <c r="N57" s="34">
        <f t="shared" si="10"/>
        <v>0</v>
      </c>
      <c r="O57" s="34">
        <f t="shared" si="10"/>
        <v>42.38</v>
      </c>
      <c r="P57" s="34">
        <f>F59-SUM(G59:O59)</f>
        <v>0</v>
      </c>
      <c r="Q57" s="23"/>
      <c r="R57" t="s">
        <v>16</v>
      </c>
    </row>
    <row r="58" spans="1:16" ht="12.75">
      <c r="A58" s="23"/>
      <c r="B58" s="35"/>
      <c r="C58" s="23"/>
      <c r="D58" s="23"/>
      <c r="E58" s="23"/>
      <c r="F58" s="27"/>
      <c r="G58" s="23"/>
      <c r="H58" s="23"/>
      <c r="I58" s="28"/>
      <c r="J58" s="23"/>
      <c r="K58" s="23"/>
      <c r="L58" s="23"/>
      <c r="M58" s="23"/>
      <c r="N58" s="23"/>
      <c r="O58" s="28"/>
      <c r="P58" s="34"/>
    </row>
    <row r="59" spans="1:16" ht="12.75">
      <c r="A59" s="23"/>
      <c r="B59" s="35" t="s">
        <v>161</v>
      </c>
      <c r="C59" s="23" t="s">
        <v>16</v>
      </c>
      <c r="D59" s="23"/>
      <c r="E59" s="23"/>
      <c r="F59" s="27">
        <v>0.61</v>
      </c>
      <c r="G59" s="23"/>
      <c r="H59" s="23"/>
      <c r="I59" s="28">
        <v>0.61</v>
      </c>
      <c r="J59" s="23"/>
      <c r="K59" s="23"/>
      <c r="L59" s="23"/>
      <c r="M59" s="23"/>
      <c r="N59" s="23"/>
      <c r="O59" s="28"/>
      <c r="P59" s="34">
        <f>F61-SUM(G61:O61)</f>
        <v>0</v>
      </c>
    </row>
    <row r="60" spans="1:18" ht="12.75">
      <c r="A60" s="32" t="s">
        <v>35</v>
      </c>
      <c r="B60" s="33" t="s">
        <v>213</v>
      </c>
      <c r="C60" s="33"/>
      <c r="D60" s="33"/>
      <c r="E60" s="33"/>
      <c r="F60" s="34">
        <f>SUM(F58:F59)</f>
        <v>0.61</v>
      </c>
      <c r="G60" s="34">
        <f aca="true" t="shared" si="11" ref="G60:O60">SUM(G58:G59)</f>
        <v>0</v>
      </c>
      <c r="H60" s="34">
        <f t="shared" si="11"/>
        <v>0</v>
      </c>
      <c r="I60" s="34">
        <f t="shared" si="11"/>
        <v>0.61</v>
      </c>
      <c r="J60" s="34">
        <f t="shared" si="11"/>
        <v>0</v>
      </c>
      <c r="K60" s="34">
        <f t="shared" si="11"/>
        <v>0</v>
      </c>
      <c r="L60" s="34">
        <f t="shared" si="11"/>
        <v>0</v>
      </c>
      <c r="M60" s="34">
        <f t="shared" si="11"/>
        <v>0</v>
      </c>
      <c r="N60" s="34">
        <f t="shared" si="11"/>
        <v>0</v>
      </c>
      <c r="O60" s="34">
        <f t="shared" si="11"/>
        <v>0</v>
      </c>
      <c r="P60" s="34">
        <f>F62-SUM(G62:O62)</f>
        <v>0</v>
      </c>
      <c r="Q60" s="23"/>
      <c r="R60" t="s">
        <v>16</v>
      </c>
    </row>
    <row r="61" spans="1:16" ht="12.75">
      <c r="A61" s="23"/>
      <c r="B61" s="35"/>
      <c r="C61" s="23"/>
      <c r="D61" s="23"/>
      <c r="E61" s="23"/>
      <c r="F61" s="27"/>
      <c r="G61" s="23"/>
      <c r="H61" s="23"/>
      <c r="I61" s="28"/>
      <c r="J61" s="23"/>
      <c r="K61" s="23"/>
      <c r="L61" s="23"/>
      <c r="M61" s="23"/>
      <c r="N61" s="23"/>
      <c r="O61" s="28"/>
      <c r="P61" s="34">
        <f>F63-SUM(G63:O63)</f>
        <v>0</v>
      </c>
    </row>
    <row r="62" spans="16:20" ht="13.5" thickBot="1">
      <c r="P62" s="34">
        <f t="shared" si="0"/>
        <v>0</v>
      </c>
      <c r="T62">
        <f>7740-1290</f>
        <v>6450</v>
      </c>
    </row>
    <row r="63" spans="1:16" ht="13.5" thickBot="1">
      <c r="A63" t="s">
        <v>41</v>
      </c>
      <c r="F63" s="40">
        <f>SUM(F4:F62)/2</f>
        <v>8008.370000000002</v>
      </c>
      <c r="G63" s="40">
        <f aca="true" t="shared" si="12" ref="G63:O63">SUM(G4:G62)/2</f>
        <v>3750</v>
      </c>
      <c r="H63" s="40">
        <f t="shared" si="12"/>
        <v>421</v>
      </c>
      <c r="I63" s="40">
        <f t="shared" si="12"/>
        <v>8.31</v>
      </c>
      <c r="J63" s="40">
        <f t="shared" si="12"/>
        <v>170</v>
      </c>
      <c r="K63" s="40">
        <f t="shared" si="12"/>
        <v>0</v>
      </c>
      <c r="L63" s="40">
        <f t="shared" si="12"/>
        <v>278.86</v>
      </c>
      <c r="M63" s="40">
        <f t="shared" si="12"/>
        <v>0</v>
      </c>
      <c r="N63" s="40">
        <f t="shared" si="12"/>
        <v>2608.32</v>
      </c>
      <c r="O63" s="40">
        <f t="shared" si="12"/>
        <v>771.8800000000001</v>
      </c>
      <c r="P63" s="34">
        <f>F63-SUM(G63:O63)</f>
        <v>0</v>
      </c>
    </row>
    <row r="64" ht="12.75">
      <c r="P64" s="34">
        <f t="shared" si="0"/>
        <v>0</v>
      </c>
    </row>
    <row r="66" ht="12.75">
      <c r="S66" s="24"/>
    </row>
    <row r="72" spans="5:16" ht="15">
      <c r="E72" s="42"/>
      <c r="P72" s="48"/>
    </row>
    <row r="73" ht="15">
      <c r="E73" s="42"/>
    </row>
    <row r="74" ht="15">
      <c r="E74" s="42"/>
    </row>
    <row r="75" ht="15">
      <c r="E75" s="42"/>
    </row>
    <row r="76" ht="15">
      <c r="E76" s="42"/>
    </row>
    <row r="77" ht="15">
      <c r="E77" s="42"/>
    </row>
    <row r="78" ht="15">
      <c r="E78" s="42"/>
    </row>
    <row r="79" ht="15">
      <c r="E79" s="42"/>
    </row>
    <row r="80" ht="15">
      <c r="E80" s="42"/>
    </row>
    <row r="81" ht="15">
      <c r="E81" s="42"/>
    </row>
    <row r="82" ht="15">
      <c r="E82" s="42"/>
    </row>
    <row r="83" ht="15">
      <c r="E83" s="42"/>
    </row>
    <row r="84" ht="15">
      <c r="E84" s="42"/>
    </row>
    <row r="85" ht="15">
      <c r="E85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Joe</cp:lastModifiedBy>
  <cp:lastPrinted>2017-12-11T09:31:16Z</cp:lastPrinted>
  <dcterms:created xsi:type="dcterms:W3CDTF">2006-08-09T10:43:03Z</dcterms:created>
  <dcterms:modified xsi:type="dcterms:W3CDTF">2019-05-31T09:44:17Z</dcterms:modified>
  <cp:category/>
  <cp:version/>
  <cp:contentType/>
  <cp:contentStatus/>
</cp:coreProperties>
</file>